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60" yWindow="720" windowWidth="11355" windowHeight="8040" activeTab="7"/>
  </bookViews>
  <sheets>
    <sheet name="ОЖИДАЕМОЕ ПОСТУПЛЕНИЕ 2018" sheetId="81" r:id="rId1"/>
    <sheet name="2019" sheetId="82" r:id="rId2"/>
    <sheet name="2020" sheetId="83" r:id="rId3"/>
    <sheet name="2021" sheetId="84" r:id="rId4"/>
    <sheet name="2022" sheetId="85" r:id="rId5"/>
    <sheet name="2023" sheetId="87" r:id="rId6"/>
    <sheet name="2024" sheetId="88" r:id="rId7"/>
    <sheet name="2025" sheetId="89" r:id="rId8"/>
  </sheets>
  <definedNames>
    <definedName name="_xlnm.Print_Area" localSheetId="3">'2021'!$A$1:$M$60</definedName>
    <definedName name="_xlnm.Print_Area" localSheetId="4">'2022'!$A$1:$M$53</definedName>
    <definedName name="_xlnm.Print_Area" localSheetId="7">'2025'!$A$1:$M$57</definedName>
  </definedNames>
  <calcPr calcId="144525"/>
</workbook>
</file>

<file path=xl/calcChain.xml><?xml version="1.0" encoding="utf-8"?>
<calcChain xmlns="http://schemas.openxmlformats.org/spreadsheetml/2006/main">
  <c r="L16" i="89" l="1"/>
  <c r="K52" i="89" l="1"/>
  <c r="K51" i="89"/>
  <c r="K50" i="89"/>
  <c r="K49" i="89"/>
  <c r="L54" i="89"/>
  <c r="L53" i="89"/>
  <c r="K42" i="89" l="1"/>
  <c r="K39" i="89"/>
  <c r="K36" i="89"/>
  <c r="K35" i="89"/>
  <c r="M36" i="89"/>
  <c r="K34" i="89"/>
  <c r="K32" i="89"/>
  <c r="K30" i="89"/>
  <c r="L30" i="89" s="1"/>
  <c r="K28" i="89"/>
  <c r="K27" i="89"/>
  <c r="L27" i="89" s="1"/>
  <c r="L22" i="89"/>
  <c r="K22" i="89"/>
  <c r="L21" i="89"/>
  <c r="K21" i="89"/>
  <c r="L20" i="89"/>
  <c r="K20" i="89"/>
  <c r="M35" i="89" l="1"/>
  <c r="K16" i="89"/>
  <c r="K15" i="89"/>
  <c r="L15" i="89" s="1"/>
  <c r="L13" i="89"/>
  <c r="K13" i="89"/>
  <c r="M12" i="89" l="1"/>
  <c r="L12" i="89"/>
  <c r="K12" i="89"/>
  <c r="K10" i="89"/>
  <c r="L11" i="89"/>
  <c r="K11" i="89"/>
  <c r="L10" i="89" l="1"/>
  <c r="I33" i="89" l="1"/>
  <c r="J33" i="89"/>
  <c r="H33" i="89"/>
  <c r="L55" i="89" l="1"/>
  <c r="M55" i="89" s="1"/>
  <c r="K55" i="89"/>
  <c r="M54" i="89"/>
  <c r="K54" i="89"/>
  <c r="M53" i="89"/>
  <c r="K53" i="89"/>
  <c r="L52" i="89"/>
  <c r="M52" i="89" s="1"/>
  <c r="L51" i="89"/>
  <c r="M51" i="89" s="1"/>
  <c r="L50" i="89"/>
  <c r="L49" i="89"/>
  <c r="M49" i="89" s="1"/>
  <c r="J48" i="89"/>
  <c r="J47" i="89" s="1"/>
  <c r="I48" i="89"/>
  <c r="I47" i="89" s="1"/>
  <c r="H48" i="89"/>
  <c r="H47" i="89" s="1"/>
  <c r="L45" i="89"/>
  <c r="M45" i="89" s="1"/>
  <c r="K45" i="89"/>
  <c r="M44" i="89"/>
  <c r="L43" i="89"/>
  <c r="M43" i="89" s="1"/>
  <c r="M42" i="89"/>
  <c r="K41" i="89"/>
  <c r="M41" i="89" s="1"/>
  <c r="K40" i="89"/>
  <c r="M40" i="89" s="1"/>
  <c r="M39" i="89"/>
  <c r="M38" i="89"/>
  <c r="K38" i="89"/>
  <c r="J37" i="89"/>
  <c r="I37" i="89"/>
  <c r="H37" i="89"/>
  <c r="K33" i="89"/>
  <c r="M34" i="89"/>
  <c r="M32" i="89"/>
  <c r="K31" i="89"/>
  <c r="M31" i="89" s="1"/>
  <c r="M30" i="89"/>
  <c r="K29" i="89"/>
  <c r="L29" i="89" s="1"/>
  <c r="M29" i="89" s="1"/>
  <c r="J26" i="89"/>
  <c r="I26" i="89"/>
  <c r="H26" i="89"/>
  <c r="L23" i="89"/>
  <c r="M23" i="89" s="1"/>
  <c r="K23" i="89"/>
  <c r="M22" i="89"/>
  <c r="M20" i="89"/>
  <c r="J19" i="89"/>
  <c r="I19" i="89"/>
  <c r="H19" i="89"/>
  <c r="H8" i="89" s="1"/>
  <c r="K18" i="89"/>
  <c r="L18" i="89" s="1"/>
  <c r="M18" i="89" s="1"/>
  <c r="K17" i="89"/>
  <c r="L17" i="89" s="1"/>
  <c r="M17" i="89" s="1"/>
  <c r="M16" i="89"/>
  <c r="M15" i="89"/>
  <c r="J14" i="89"/>
  <c r="I14" i="89"/>
  <c r="I8" i="89" s="1"/>
  <c r="H14" i="89"/>
  <c r="M13" i="89"/>
  <c r="M11" i="89"/>
  <c r="M10" i="89"/>
  <c r="L33" i="89" l="1"/>
  <c r="M33" i="89" s="1"/>
  <c r="K48" i="89"/>
  <c r="K47" i="89" s="1"/>
  <c r="L48" i="89"/>
  <c r="L47" i="89" s="1"/>
  <c r="K37" i="89"/>
  <c r="H24" i="89"/>
  <c r="H46" i="89" s="1"/>
  <c r="H56" i="89" s="1"/>
  <c r="M37" i="89"/>
  <c r="J24" i="89"/>
  <c r="I24" i="89"/>
  <c r="I46" i="89" s="1"/>
  <c r="K26" i="89"/>
  <c r="J8" i="89"/>
  <c r="K19" i="89"/>
  <c r="M27" i="89"/>
  <c r="M14" i="89"/>
  <c r="L14" i="89"/>
  <c r="M28" i="89"/>
  <c r="M50" i="89"/>
  <c r="K14" i="89"/>
  <c r="L37" i="89"/>
  <c r="K51" i="88"/>
  <c r="K49" i="88"/>
  <c r="K48" i="88"/>
  <c r="K50" i="88"/>
  <c r="L49" i="88"/>
  <c r="L50" i="88"/>
  <c r="L51" i="88"/>
  <c r="L52" i="88"/>
  <c r="L53" i="88"/>
  <c r="L54" i="88"/>
  <c r="L48" i="88"/>
  <c r="L44" i="88"/>
  <c r="K44" i="88"/>
  <c r="L42" i="88"/>
  <c r="K42" i="88"/>
  <c r="L41" i="88"/>
  <c r="K41" i="88"/>
  <c r="K8" i="89" l="1"/>
  <c r="M48" i="89"/>
  <c r="M47" i="89" s="1"/>
  <c r="I56" i="89"/>
  <c r="K24" i="89"/>
  <c r="J46" i="89"/>
  <c r="L26" i="89"/>
  <c r="L24" i="89" s="1"/>
  <c r="M26" i="89"/>
  <c r="M24" i="89" s="1"/>
  <c r="L19" i="89"/>
  <c r="M19" i="89" s="1"/>
  <c r="M8" i="89" s="1"/>
  <c r="M21" i="89"/>
  <c r="L39" i="88"/>
  <c r="K39" i="88"/>
  <c r="L40" i="88"/>
  <c r="L38" i="88"/>
  <c r="K38" i="88"/>
  <c r="L37" i="88"/>
  <c r="K37" i="88"/>
  <c r="L35" i="88"/>
  <c r="K35" i="88"/>
  <c r="L34" i="88"/>
  <c r="K34" i="88"/>
  <c r="K32" i="88"/>
  <c r="L32" i="88" s="1"/>
  <c r="K46" i="89" l="1"/>
  <c r="K56" i="89" s="1"/>
  <c r="L8" i="89"/>
  <c r="L46" i="89" s="1"/>
  <c r="J56" i="89"/>
  <c r="M46" i="89"/>
  <c r="M31" i="88"/>
  <c r="L28" i="88"/>
  <c r="K28" i="88"/>
  <c r="L27" i="88"/>
  <c r="K27" i="88"/>
  <c r="L29" i="88"/>
  <c r="L30" i="88"/>
  <c r="L31" i="88"/>
  <c r="K29" i="88"/>
  <c r="K30" i="88"/>
  <c r="K31" i="88"/>
  <c r="L21" i="88"/>
  <c r="L22" i="88"/>
  <c r="K22" i="88"/>
  <c r="K21" i="88"/>
  <c r="K20" i="88"/>
  <c r="L20" i="88"/>
  <c r="L17" i="88"/>
  <c r="K16" i="88"/>
  <c r="L16" i="88" s="1"/>
  <c r="L15" i="88"/>
  <c r="K15" i="88"/>
  <c r="L13" i="88"/>
  <c r="K13" i="88"/>
  <c r="L10" i="88"/>
  <c r="L56" i="89" l="1"/>
  <c r="M56" i="89" s="1"/>
  <c r="L11" i="88"/>
  <c r="K11" i="88"/>
  <c r="I58" i="88" l="1"/>
  <c r="I57" i="88"/>
  <c r="N42" i="88" l="1"/>
  <c r="M54" i="88" l="1"/>
  <c r="K54" i="88"/>
  <c r="M53" i="88"/>
  <c r="K53" i="88"/>
  <c r="M52" i="88"/>
  <c r="K52" i="88"/>
  <c r="M51" i="88"/>
  <c r="M50" i="88"/>
  <c r="M49" i="88"/>
  <c r="M48" i="88"/>
  <c r="J47" i="88"/>
  <c r="J46" i="88" s="1"/>
  <c r="I47" i="88"/>
  <c r="I46" i="88" s="1"/>
  <c r="H47" i="88"/>
  <c r="H46" i="88" s="1"/>
  <c r="M44" i="88"/>
  <c r="M43" i="88"/>
  <c r="M42" i="88"/>
  <c r="M41" i="88"/>
  <c r="M40" i="88"/>
  <c r="K40" i="88"/>
  <c r="K36" i="88" s="1"/>
  <c r="M39" i="88"/>
  <c r="M38" i="88"/>
  <c r="M37" i="88"/>
  <c r="J36" i="88"/>
  <c r="H36" i="88"/>
  <c r="M35" i="88"/>
  <c r="I33" i="88"/>
  <c r="M34" i="88"/>
  <c r="L33" i="88"/>
  <c r="K33" i="88"/>
  <c r="J33" i="88"/>
  <c r="H33" i="88"/>
  <c r="M32" i="88"/>
  <c r="I32" i="88"/>
  <c r="M30" i="88"/>
  <c r="M28" i="88"/>
  <c r="M27" i="88"/>
  <c r="J26" i="88"/>
  <c r="H26" i="88"/>
  <c r="L23" i="88"/>
  <c r="M23" i="88" s="1"/>
  <c r="K23" i="88"/>
  <c r="M22" i="88"/>
  <c r="M21" i="88"/>
  <c r="L19" i="88"/>
  <c r="K19" i="88"/>
  <c r="J19" i="88"/>
  <c r="I19" i="88"/>
  <c r="H19" i="88"/>
  <c r="K18" i="88"/>
  <c r="L18" i="88" s="1"/>
  <c r="L14" i="88" s="1"/>
  <c r="M17" i="88"/>
  <c r="K17" i="88"/>
  <c r="M16" i="88"/>
  <c r="M15" i="88"/>
  <c r="J14" i="88"/>
  <c r="J8" i="88" s="1"/>
  <c r="H14" i="88"/>
  <c r="M13" i="88"/>
  <c r="M11" i="88"/>
  <c r="M10" i="88"/>
  <c r="L47" i="88" l="1"/>
  <c r="M47" i="88" s="1"/>
  <c r="M46" i="88" s="1"/>
  <c r="H24" i="88"/>
  <c r="I26" i="88"/>
  <c r="H8" i="88"/>
  <c r="I14" i="88"/>
  <c r="I8" i="88" s="1"/>
  <c r="K14" i="88"/>
  <c r="K8" i="88" s="1"/>
  <c r="J24" i="88"/>
  <c r="J45" i="88" s="1"/>
  <c r="J55" i="88" s="1"/>
  <c r="M19" i="88"/>
  <c r="K47" i="88"/>
  <c r="K46" i="88" s="1"/>
  <c r="I36" i="88"/>
  <c r="M33" i="88"/>
  <c r="M36" i="88"/>
  <c r="L8" i="88"/>
  <c r="M29" i="88"/>
  <c r="M26" i="88" s="1"/>
  <c r="L26" i="88"/>
  <c r="M18" i="88"/>
  <c r="M14" i="88" s="1"/>
  <c r="M20" i="88"/>
  <c r="K26" i="88"/>
  <c r="K24" i="88" s="1"/>
  <c r="L36" i="88"/>
  <c r="J35" i="87"/>
  <c r="H35" i="87"/>
  <c r="J25" i="87"/>
  <c r="K45" i="88" l="1"/>
  <c r="K55" i="88" s="1"/>
  <c r="L46" i="88"/>
  <c r="I24" i="88"/>
  <c r="I45" i="88" s="1"/>
  <c r="I55" i="88" s="1"/>
  <c r="H45" i="88"/>
  <c r="H55" i="88" s="1"/>
  <c r="M8" i="88"/>
  <c r="M24" i="88"/>
  <c r="L24" i="88"/>
  <c r="L45" i="88" s="1"/>
  <c r="H25" i="87"/>
  <c r="M20" i="87"/>
  <c r="M11" i="87"/>
  <c r="M12" i="87"/>
  <c r="M45" i="88" l="1"/>
  <c r="L55" i="88"/>
  <c r="M55" i="88" s="1"/>
  <c r="N45" i="88"/>
  <c r="L19" i="87"/>
  <c r="M19" i="87" s="1"/>
  <c r="L9" i="87"/>
  <c r="L32" i="87" l="1"/>
  <c r="L18" i="87"/>
  <c r="L43" i="87" l="1"/>
  <c r="J32" i="87" l="1"/>
  <c r="J23" i="87" s="1"/>
  <c r="K32" i="87"/>
  <c r="J18" i="87"/>
  <c r="K18" i="87"/>
  <c r="J13" i="87"/>
  <c r="J7" i="87" s="1"/>
  <c r="J44" i="87" l="1"/>
  <c r="I18" i="87"/>
  <c r="H32" i="87" l="1"/>
  <c r="H23" i="87" s="1"/>
  <c r="H18" i="87" l="1"/>
  <c r="M18" i="87" s="1"/>
  <c r="H13" i="87" l="1"/>
  <c r="H7" i="87" s="1"/>
  <c r="L53" i="87" l="1"/>
  <c r="M53" i="87" s="1"/>
  <c r="K53" i="87"/>
  <c r="L52" i="87"/>
  <c r="M52" i="87" s="1"/>
  <c r="K52" i="87"/>
  <c r="L51" i="87"/>
  <c r="M51" i="87" s="1"/>
  <c r="K51" i="87"/>
  <c r="L50" i="87"/>
  <c r="M50" i="87" s="1"/>
  <c r="K50" i="87"/>
  <c r="L49" i="87"/>
  <c r="M49" i="87" s="1"/>
  <c r="K49" i="87"/>
  <c r="L48" i="87"/>
  <c r="M48" i="87" s="1"/>
  <c r="K48" i="87"/>
  <c r="M47" i="87"/>
  <c r="K47" i="87"/>
  <c r="J46" i="87"/>
  <c r="J45" i="87" s="1"/>
  <c r="I46" i="87"/>
  <c r="I45" i="87" s="1"/>
  <c r="H46" i="87"/>
  <c r="H45" i="87" s="1"/>
  <c r="M43" i="87"/>
  <c r="M42" i="87"/>
  <c r="M41" i="87"/>
  <c r="K41" i="87"/>
  <c r="M40" i="87"/>
  <c r="L39" i="87"/>
  <c r="M39" i="87" s="1"/>
  <c r="K39" i="87"/>
  <c r="K35" i="87" s="1"/>
  <c r="M38" i="87"/>
  <c r="I38" i="87"/>
  <c r="M37" i="87"/>
  <c r="I37" i="87"/>
  <c r="I36" i="87"/>
  <c r="H44" i="87"/>
  <c r="M34" i="87"/>
  <c r="I34" i="87"/>
  <c r="I32" i="87" s="1"/>
  <c r="M33" i="87"/>
  <c r="M31" i="87"/>
  <c r="I31" i="87"/>
  <c r="L29" i="87"/>
  <c r="M29" i="87" s="1"/>
  <c r="I29" i="87"/>
  <c r="K28" i="87"/>
  <c r="K25" i="87" s="1"/>
  <c r="I28" i="87"/>
  <c r="M27" i="87"/>
  <c r="I27" i="87"/>
  <c r="I25" i="87" s="1"/>
  <c r="L22" i="87"/>
  <c r="K22" i="87"/>
  <c r="M21" i="87"/>
  <c r="I21" i="87"/>
  <c r="K17" i="87"/>
  <c r="L17" i="87" s="1"/>
  <c r="I17" i="87"/>
  <c r="M16" i="87"/>
  <c r="K16" i="87"/>
  <c r="K13" i="87" s="1"/>
  <c r="K7" i="87" s="1"/>
  <c r="I16" i="87"/>
  <c r="M15" i="87"/>
  <c r="M14" i="87"/>
  <c r="I14" i="87"/>
  <c r="M10" i="87"/>
  <c r="M9" i="87"/>
  <c r="K23" i="87" l="1"/>
  <c r="I35" i="87"/>
  <c r="I23" i="87" s="1"/>
  <c r="M17" i="87"/>
  <c r="L13" i="87"/>
  <c r="L7" i="87" s="1"/>
  <c r="K44" i="87"/>
  <c r="M22" i="87"/>
  <c r="K46" i="87"/>
  <c r="K45" i="87" s="1"/>
  <c r="M32" i="87"/>
  <c r="L28" i="87"/>
  <c r="L25" i="87" s="1"/>
  <c r="H54" i="87"/>
  <c r="I13" i="87"/>
  <c r="I7" i="87" s="1"/>
  <c r="M13" i="87"/>
  <c r="L36" i="87"/>
  <c r="L46" i="87"/>
  <c r="K46" i="85"/>
  <c r="L35" i="87" l="1"/>
  <c r="L23" i="87" s="1"/>
  <c r="L44" i="87" s="1"/>
  <c r="N44" i="87" s="1"/>
  <c r="M7" i="87"/>
  <c r="J54" i="87"/>
  <c r="I44" i="87"/>
  <c r="I54" i="87" s="1"/>
  <c r="M28" i="87"/>
  <c r="M26" i="87"/>
  <c r="M36" i="87"/>
  <c r="M35" i="87" s="1"/>
  <c r="L45" i="87"/>
  <c r="M46" i="87"/>
  <c r="M45" i="87" s="1"/>
  <c r="K32" i="85"/>
  <c r="L32" i="85" s="1"/>
  <c r="K28" i="85"/>
  <c r="L25" i="85"/>
  <c r="M25" i="87" l="1"/>
  <c r="M23" i="87" s="1"/>
  <c r="K54" i="87"/>
  <c r="L49" i="85"/>
  <c r="M49" i="85" s="1"/>
  <c r="K49" i="85"/>
  <c r="L48" i="85"/>
  <c r="M48" i="85" s="1"/>
  <c r="K48" i="85"/>
  <c r="L47" i="85"/>
  <c r="M47" i="85" s="1"/>
  <c r="K47" i="85"/>
  <c r="L46" i="85"/>
  <c r="M46" i="85" s="1"/>
  <c r="L45" i="85"/>
  <c r="M45" i="85" s="1"/>
  <c r="K45" i="85"/>
  <c r="L44" i="85"/>
  <c r="M44" i="85" s="1"/>
  <c r="K44" i="85"/>
  <c r="K43" i="85"/>
  <c r="J42" i="85"/>
  <c r="J41" i="85" s="1"/>
  <c r="I42" i="85"/>
  <c r="I41" i="85" s="1"/>
  <c r="H42" i="85"/>
  <c r="H41" i="85" s="1"/>
  <c r="M39" i="85"/>
  <c r="M38" i="85"/>
  <c r="K38" i="85"/>
  <c r="J38" i="85"/>
  <c r="I38" i="85"/>
  <c r="M37" i="85"/>
  <c r="L36" i="85"/>
  <c r="M36" i="85" s="1"/>
  <c r="K36" i="85"/>
  <c r="M35" i="85"/>
  <c r="L34" i="85"/>
  <c r="K34" i="85"/>
  <c r="M33" i="85"/>
  <c r="I33" i="85"/>
  <c r="M32" i="85"/>
  <c r="I32" i="85"/>
  <c r="K31" i="85"/>
  <c r="L31" i="85" s="1"/>
  <c r="I31" i="85"/>
  <c r="J30" i="85"/>
  <c r="H30" i="85"/>
  <c r="K29" i="85"/>
  <c r="L29" i="85" s="1"/>
  <c r="L26" i="85" s="1"/>
  <c r="M28" i="85"/>
  <c r="I28" i="85"/>
  <c r="M27" i="85"/>
  <c r="J26" i="85"/>
  <c r="H26" i="85"/>
  <c r="M25" i="85"/>
  <c r="I25" i="85"/>
  <c r="K24" i="85"/>
  <c r="L24" i="85" s="1"/>
  <c r="I24" i="85"/>
  <c r="K23" i="85"/>
  <c r="L23" i="85" s="1"/>
  <c r="I23" i="85"/>
  <c r="M22" i="85"/>
  <c r="M21" i="85"/>
  <c r="I21" i="85"/>
  <c r="J20" i="85"/>
  <c r="H20" i="85"/>
  <c r="L17" i="85"/>
  <c r="M17" i="85" s="1"/>
  <c r="K17" i="85"/>
  <c r="M16" i="85"/>
  <c r="I16" i="85"/>
  <c r="K15" i="85"/>
  <c r="L15" i="85" s="1"/>
  <c r="I15" i="85"/>
  <c r="M14" i="85"/>
  <c r="K14" i="85"/>
  <c r="K11" i="85" s="1"/>
  <c r="K7" i="85" s="1"/>
  <c r="I14" i="85"/>
  <c r="M13" i="85"/>
  <c r="M12" i="85"/>
  <c r="I12" i="85"/>
  <c r="J11" i="85"/>
  <c r="J7" i="85" s="1"/>
  <c r="H11" i="85"/>
  <c r="H7" i="85" s="1"/>
  <c r="M10" i="85"/>
  <c r="M9" i="85"/>
  <c r="M44" i="87" l="1"/>
  <c r="M24" i="85"/>
  <c r="L20" i="85"/>
  <c r="L30" i="85"/>
  <c r="M30" i="85" s="1"/>
  <c r="L42" i="85"/>
  <c r="L41" i="85" s="1"/>
  <c r="K42" i="85"/>
  <c r="K41" i="85" s="1"/>
  <c r="M43" i="85"/>
  <c r="K26" i="85"/>
  <c r="J18" i="85"/>
  <c r="J40" i="85" s="1"/>
  <c r="J50" i="85" s="1"/>
  <c r="M23" i="85"/>
  <c r="K20" i="85"/>
  <c r="I30" i="85"/>
  <c r="H18" i="85"/>
  <c r="H40" i="85" s="1"/>
  <c r="H50" i="85" s="1"/>
  <c r="I26" i="85"/>
  <c r="I20" i="85"/>
  <c r="I11" i="85"/>
  <c r="I7" i="85" s="1"/>
  <c r="M31" i="85"/>
  <c r="L11" i="85"/>
  <c r="L7" i="85" s="1"/>
  <c r="M15" i="85"/>
  <c r="M11" i="85" s="1"/>
  <c r="M26" i="85"/>
  <c r="M29" i="85"/>
  <c r="K30" i="85"/>
  <c r="M42" i="85"/>
  <c r="M41" i="85" s="1"/>
  <c r="U17" i="84"/>
  <c r="T17" i="84"/>
  <c r="L18" i="85" l="1"/>
  <c r="L54" i="87"/>
  <c r="M54" i="87" s="1"/>
  <c r="L40" i="85"/>
  <c r="I18" i="85"/>
  <c r="I40" i="85" s="1"/>
  <c r="I50" i="85" s="1"/>
  <c r="M20" i="85"/>
  <c r="K18" i="85"/>
  <c r="K40" i="85" s="1"/>
  <c r="K50" i="85" s="1"/>
  <c r="M7" i="85"/>
  <c r="K28" i="84"/>
  <c r="L28" i="84" s="1"/>
  <c r="K27" i="84"/>
  <c r="L27" i="84" s="1"/>
  <c r="K19" i="84"/>
  <c r="L19" i="84" s="1"/>
  <c r="M19" i="84" s="1"/>
  <c r="K33" i="84"/>
  <c r="L33" i="84" s="1"/>
  <c r="I32" i="84"/>
  <c r="I31" i="84"/>
  <c r="I29" i="84"/>
  <c r="I26" i="84"/>
  <c r="I27" i="84"/>
  <c r="I28" i="84"/>
  <c r="I25" i="84"/>
  <c r="I20" i="84"/>
  <c r="I18" i="84"/>
  <c r="I19" i="84"/>
  <c r="I16" i="84"/>
  <c r="I14" i="84"/>
  <c r="I39" i="84"/>
  <c r="I36" i="84"/>
  <c r="I37" i="84"/>
  <c r="I35" i="84"/>
  <c r="J15" i="84"/>
  <c r="H15" i="84"/>
  <c r="M18" i="85" l="1"/>
  <c r="L50" i="85"/>
  <c r="M50" i="85" s="1"/>
  <c r="M40" i="85"/>
  <c r="I15" i="84"/>
  <c r="I11" i="84" s="1"/>
  <c r="L53" i="84"/>
  <c r="M53" i="84" s="1"/>
  <c r="K53" i="84"/>
  <c r="L52" i="84"/>
  <c r="M52" i="84" s="1"/>
  <c r="K52" i="84"/>
  <c r="L51" i="84"/>
  <c r="M51" i="84" s="1"/>
  <c r="K51" i="84"/>
  <c r="L50" i="84"/>
  <c r="M50" i="84" s="1"/>
  <c r="L49" i="84"/>
  <c r="M49" i="84" s="1"/>
  <c r="K49" i="84"/>
  <c r="L48" i="84"/>
  <c r="M48" i="84" s="1"/>
  <c r="K48" i="84"/>
  <c r="L47" i="84"/>
  <c r="M47" i="84" s="1"/>
  <c r="K47" i="84"/>
  <c r="J46" i="84"/>
  <c r="J45" i="84" s="1"/>
  <c r="I46" i="84"/>
  <c r="I45" i="84" s="1"/>
  <c r="H46" i="84"/>
  <c r="H45" i="84" s="1"/>
  <c r="M43" i="84"/>
  <c r="M42" i="84"/>
  <c r="K42" i="84"/>
  <c r="J42" i="84"/>
  <c r="I42" i="84"/>
  <c r="M41" i="84"/>
  <c r="L40" i="84"/>
  <c r="M40" i="84" s="1"/>
  <c r="K40" i="84"/>
  <c r="M39" i="84"/>
  <c r="L38" i="84"/>
  <c r="K38" i="84"/>
  <c r="M37" i="84"/>
  <c r="M36" i="84"/>
  <c r="K35" i="84"/>
  <c r="L35" i="84" s="1"/>
  <c r="M35" i="84" s="1"/>
  <c r="L34" i="84"/>
  <c r="J34" i="84"/>
  <c r="I34" i="84"/>
  <c r="H34" i="84"/>
  <c r="M33" i="84"/>
  <c r="M32" i="84"/>
  <c r="J30" i="84"/>
  <c r="I30" i="84"/>
  <c r="H30" i="84"/>
  <c r="M29" i="84"/>
  <c r="M28" i="84"/>
  <c r="M27" i="84"/>
  <c r="M26" i="84"/>
  <c r="M25" i="84"/>
  <c r="L24" i="84"/>
  <c r="K24" i="84"/>
  <c r="J24" i="84"/>
  <c r="I24" i="84"/>
  <c r="H24" i="84"/>
  <c r="L21" i="84"/>
  <c r="M21" i="84" s="1"/>
  <c r="K21" i="84"/>
  <c r="M20" i="84"/>
  <c r="L18" i="84"/>
  <c r="K18" i="84"/>
  <c r="M17" i="84"/>
  <c r="J11" i="84"/>
  <c r="H11" i="84"/>
  <c r="M14" i="84"/>
  <c r="M13" i="84"/>
  <c r="K34" i="84" l="1"/>
  <c r="K15" i="84"/>
  <c r="K11" i="84" s="1"/>
  <c r="M16" i="84"/>
  <c r="L15" i="84"/>
  <c r="L11" i="84" s="1"/>
  <c r="M11" i="84" s="1"/>
  <c r="H22" i="84"/>
  <c r="H44" i="84" s="1"/>
  <c r="H54" i="84" s="1"/>
  <c r="M24" i="84"/>
  <c r="J22" i="84"/>
  <c r="J44" i="84" s="1"/>
  <c r="J54" i="84" s="1"/>
  <c r="K46" i="84"/>
  <c r="K45" i="84" s="1"/>
  <c r="I22" i="84"/>
  <c r="I44" i="84" s="1"/>
  <c r="I54" i="84" s="1"/>
  <c r="M34" i="84"/>
  <c r="L46" i="84"/>
  <c r="M46" i="84" s="1"/>
  <c r="M45" i="84" s="1"/>
  <c r="L30" i="84"/>
  <c r="M30" i="84" s="1"/>
  <c r="M31" i="84"/>
  <c r="M18" i="84"/>
  <c r="K30" i="84"/>
  <c r="K22" i="84" s="1"/>
  <c r="K44" i="84" l="1"/>
  <c r="K54" i="84" s="1"/>
  <c r="M15" i="84"/>
  <c r="L45" i="84"/>
  <c r="L22" i="84"/>
  <c r="K32" i="83"/>
  <c r="M22" i="84" l="1"/>
  <c r="L44" i="84"/>
  <c r="L16" i="83"/>
  <c r="L54" i="84" l="1"/>
  <c r="M54" i="84" s="1"/>
  <c r="M44" i="84"/>
  <c r="L14" i="83"/>
  <c r="L32" i="83"/>
  <c r="K40" i="83"/>
  <c r="L40" i="83" s="1"/>
  <c r="L39" i="83"/>
  <c r="K39" i="83"/>
  <c r="L37" i="83"/>
  <c r="K37" i="83"/>
  <c r="H31" i="83"/>
  <c r="M13" i="83"/>
  <c r="K41" i="83" l="1"/>
  <c r="K36" i="83"/>
  <c r="K31" i="83"/>
  <c r="M19" i="83"/>
  <c r="L54" i="83" l="1"/>
  <c r="M54" i="83" s="1"/>
  <c r="K54" i="83"/>
  <c r="L53" i="83"/>
  <c r="M53" i="83" s="1"/>
  <c r="K53" i="83"/>
  <c r="L52" i="83"/>
  <c r="M52" i="83" s="1"/>
  <c r="K52" i="83"/>
  <c r="L51" i="83"/>
  <c r="M51" i="83" s="1"/>
  <c r="K51" i="83"/>
  <c r="L50" i="83"/>
  <c r="M50" i="83" s="1"/>
  <c r="K50" i="83"/>
  <c r="L49" i="83"/>
  <c r="M49" i="83" s="1"/>
  <c r="K49" i="83"/>
  <c r="L48" i="83"/>
  <c r="M48" i="83" s="1"/>
  <c r="K48" i="83"/>
  <c r="J47" i="83"/>
  <c r="J46" i="83" s="1"/>
  <c r="I47" i="83"/>
  <c r="I46" i="83" s="1"/>
  <c r="H47" i="83"/>
  <c r="H46" i="83" s="1"/>
  <c r="M44" i="83"/>
  <c r="M43" i="83"/>
  <c r="K43" i="83"/>
  <c r="J43" i="83"/>
  <c r="I43" i="83"/>
  <c r="M42" i="83"/>
  <c r="K42" i="83"/>
  <c r="L41" i="83"/>
  <c r="M41" i="83" s="1"/>
  <c r="M40" i="83"/>
  <c r="M38" i="83"/>
  <c r="M37" i="83"/>
  <c r="M36" i="83"/>
  <c r="K35" i="83"/>
  <c r="J35" i="83"/>
  <c r="I35" i="83"/>
  <c r="H35" i="83"/>
  <c r="M34" i="83"/>
  <c r="M33" i="83"/>
  <c r="L31" i="83"/>
  <c r="M31" i="83" s="1"/>
  <c r="J31" i="83"/>
  <c r="I31" i="83"/>
  <c r="M30" i="83"/>
  <c r="M29" i="83"/>
  <c r="M28" i="83"/>
  <c r="M27" i="83"/>
  <c r="K25" i="83"/>
  <c r="J25" i="83"/>
  <c r="I25" i="83"/>
  <c r="H25" i="83"/>
  <c r="H23" i="83"/>
  <c r="L22" i="83"/>
  <c r="M22" i="83" s="1"/>
  <c r="K22" i="83"/>
  <c r="M21" i="83"/>
  <c r="M20" i="83"/>
  <c r="L18" i="83"/>
  <c r="M18" i="83" s="1"/>
  <c r="K18" i="83"/>
  <c r="K15" i="83" s="1"/>
  <c r="K11" i="83" s="1"/>
  <c r="M17" i="83"/>
  <c r="M16" i="83"/>
  <c r="J15" i="83"/>
  <c r="I15" i="83"/>
  <c r="I11" i="83" s="1"/>
  <c r="H15" i="83"/>
  <c r="M14" i="83"/>
  <c r="J11" i="83"/>
  <c r="H11" i="83"/>
  <c r="H45" i="83" l="1"/>
  <c r="J23" i="83"/>
  <c r="J45" i="83" s="1"/>
  <c r="I23" i="83"/>
  <c r="I45" i="83" s="1"/>
  <c r="I55" i="83" s="1"/>
  <c r="K47" i="83"/>
  <c r="K46" i="83" s="1"/>
  <c r="H55" i="83"/>
  <c r="K23" i="83"/>
  <c r="K45" i="83" s="1"/>
  <c r="M15" i="83"/>
  <c r="J55" i="83"/>
  <c r="L15" i="83"/>
  <c r="L11" i="83" s="1"/>
  <c r="M32" i="83"/>
  <c r="L35" i="83"/>
  <c r="M35" i="83" s="1"/>
  <c r="L47" i="83"/>
  <c r="M47" i="83" s="1"/>
  <c r="K55" i="83" l="1"/>
  <c r="M26" i="83"/>
  <c r="L25" i="83"/>
  <c r="M46" i="83"/>
  <c r="L46" i="83"/>
  <c r="M11" i="83"/>
  <c r="M25" i="83" l="1"/>
  <c r="L23" i="83"/>
  <c r="M23" i="83" l="1"/>
  <c r="L45" i="83"/>
  <c r="M45" i="83" l="1"/>
  <c r="L55" i="83"/>
  <c r="M55" i="83" s="1"/>
  <c r="K24" i="81" l="1"/>
  <c r="L25" i="81"/>
  <c r="K25" i="81"/>
  <c r="L15" i="81" l="1"/>
  <c r="K15" i="81"/>
  <c r="L19" i="81"/>
  <c r="L16" i="81"/>
  <c r="L12" i="81"/>
  <c r="L31" i="81" l="1"/>
  <c r="K31" i="81"/>
  <c r="L32" i="81"/>
  <c r="K32" i="81"/>
  <c r="L34" i="81"/>
  <c r="K34" i="81"/>
  <c r="L35" i="81"/>
  <c r="K35" i="81"/>
  <c r="L36" i="81"/>
  <c r="K36" i="81"/>
  <c r="K48" i="81"/>
  <c r="K47" i="81"/>
  <c r="K46" i="81"/>
  <c r="K45" i="81"/>
  <c r="L48" i="81"/>
  <c r="L47" i="81"/>
  <c r="L46" i="81"/>
  <c r="L45" i="81"/>
  <c r="L49" i="81"/>
  <c r="M49" i="81" s="1"/>
  <c r="K49" i="81"/>
  <c r="L50" i="81"/>
  <c r="K50" i="81"/>
  <c r="L51" i="81"/>
  <c r="K51" i="81"/>
  <c r="K39" i="81"/>
  <c r="L38" i="81"/>
  <c r="K38" i="81"/>
  <c r="L37" i="81"/>
  <c r="K37" i="81"/>
  <c r="L30" i="81"/>
  <c r="L28" i="81"/>
  <c r="K28" i="81"/>
  <c r="L27" i="81"/>
  <c r="K27" i="81"/>
  <c r="M26" i="81"/>
  <c r="L20" i="81"/>
  <c r="K20" i="81"/>
  <c r="L17" i="81"/>
  <c r="K17" i="81"/>
  <c r="L29" i="81" l="1"/>
  <c r="J44" i="81"/>
  <c r="J43" i="81" s="1"/>
  <c r="H44" i="81" l="1"/>
  <c r="H43" i="81" s="1"/>
  <c r="M51" i="81" l="1"/>
  <c r="M50" i="81"/>
  <c r="M48" i="81"/>
  <c r="M47" i="81"/>
  <c r="M46" i="81"/>
  <c r="M45" i="81"/>
  <c r="L44" i="81"/>
  <c r="L43" i="81" s="1"/>
  <c r="K44" i="81"/>
  <c r="K43" i="81" s="1"/>
  <c r="I44" i="81"/>
  <c r="I43" i="81" s="1"/>
  <c r="M41" i="81"/>
  <c r="M40" i="81"/>
  <c r="K40" i="81"/>
  <c r="J40" i="81"/>
  <c r="I40" i="81"/>
  <c r="M39" i="81"/>
  <c r="M38" i="81"/>
  <c r="M37" i="81"/>
  <c r="M36" i="81"/>
  <c r="M35" i="81"/>
  <c r="M34" i="81"/>
  <c r="L33" i="81"/>
  <c r="K33" i="81"/>
  <c r="J33" i="81"/>
  <c r="I33" i="81"/>
  <c r="H33" i="81"/>
  <c r="M33" i="81" s="1"/>
  <c r="M32" i="81"/>
  <c r="M31" i="81"/>
  <c r="M30" i="81"/>
  <c r="K29" i="81"/>
  <c r="J29" i="81"/>
  <c r="I29" i="81"/>
  <c r="H29" i="81"/>
  <c r="M28" i="81"/>
  <c r="M27" i="81"/>
  <c r="M25" i="81"/>
  <c r="M24" i="81"/>
  <c r="L23" i="81"/>
  <c r="K23" i="81"/>
  <c r="J23" i="81"/>
  <c r="I23" i="81"/>
  <c r="I21" i="81" s="1"/>
  <c r="H23" i="81"/>
  <c r="M20" i="81"/>
  <c r="M19" i="81"/>
  <c r="M18" i="81"/>
  <c r="M17" i="81"/>
  <c r="M16" i="81"/>
  <c r="M15" i="81"/>
  <c r="L14" i="81"/>
  <c r="L10" i="81" s="1"/>
  <c r="K14" i="81"/>
  <c r="K10" i="81" s="1"/>
  <c r="J14" i="81"/>
  <c r="J10" i="81" s="1"/>
  <c r="I14" i="81"/>
  <c r="I10" i="81" s="1"/>
  <c r="H14" i="81"/>
  <c r="M13" i="81"/>
  <c r="M12" i="81"/>
  <c r="H21" i="81" l="1"/>
  <c r="M14" i="81"/>
  <c r="K21" i="81"/>
  <c r="K42" i="81" s="1"/>
  <c r="K52" i="81" s="1"/>
  <c r="L21" i="81"/>
  <c r="L42" i="81" s="1"/>
  <c r="J21" i="81"/>
  <c r="J42" i="81" s="1"/>
  <c r="J52" i="81" s="1"/>
  <c r="I42" i="81"/>
  <c r="I52" i="81" s="1"/>
  <c r="M44" i="81"/>
  <c r="M43" i="81" s="1"/>
  <c r="M29" i="81"/>
  <c r="H10" i="81"/>
  <c r="M10" i="81" s="1"/>
  <c r="M23" i="81"/>
  <c r="M21" i="81" l="1"/>
  <c r="H42" i="81"/>
  <c r="H52" i="81" s="1"/>
  <c r="L52" i="81"/>
  <c r="M52" i="81" l="1"/>
  <c r="M42" i="81"/>
</calcChain>
</file>

<file path=xl/sharedStrings.xml><?xml version="1.0" encoding="utf-8"?>
<sst xmlns="http://schemas.openxmlformats.org/spreadsheetml/2006/main" count="865" uniqueCount="182">
  <si>
    <t>Доходы</t>
  </si>
  <si>
    <t>Налоговые доходы, всего</t>
  </si>
  <si>
    <t>в том числе</t>
  </si>
  <si>
    <t>ЕНВД</t>
  </si>
  <si>
    <t xml:space="preserve">Земельный налог </t>
  </si>
  <si>
    <t xml:space="preserve">Сельхоз налог </t>
  </si>
  <si>
    <t>Штрафы</t>
  </si>
  <si>
    <t>2.</t>
  </si>
  <si>
    <t>1.</t>
  </si>
  <si>
    <t>2.1.</t>
  </si>
  <si>
    <t>2.2.</t>
  </si>
  <si>
    <t>2.3.</t>
  </si>
  <si>
    <t>2.4.</t>
  </si>
  <si>
    <t>2.5.</t>
  </si>
  <si>
    <t>2.6.</t>
  </si>
  <si>
    <t>Невыясненные поступления</t>
  </si>
  <si>
    <t>Прочие неналоговые</t>
  </si>
  <si>
    <t>Доходы от использования имущества</t>
  </si>
  <si>
    <t>1.1.</t>
  </si>
  <si>
    <t>1.2.</t>
  </si>
  <si>
    <t>1.3.</t>
  </si>
  <si>
    <t>1.4.</t>
  </si>
  <si>
    <t>Налог на доходы физических лиц</t>
  </si>
  <si>
    <t>Налоги на совокупный доход</t>
  </si>
  <si>
    <t>1.2.1.</t>
  </si>
  <si>
    <t>1.2.2.</t>
  </si>
  <si>
    <t>1.3.3.</t>
  </si>
  <si>
    <t>2.1.1.</t>
  </si>
  <si>
    <t>2.1.2.</t>
  </si>
  <si>
    <t>2.1.3.</t>
  </si>
  <si>
    <t>Плата за негативное воздействие на окружающую среду</t>
  </si>
  <si>
    <t>Неналоговые доходы всего</t>
  </si>
  <si>
    <t>Всего собственных доходов</t>
  </si>
  <si>
    <t>2.3.1.</t>
  </si>
  <si>
    <t>2.3.2.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</si>
  <si>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</si>
  <si>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 xml:space="preserve"> Доходы от продажи материальных и нематериальных активов</t>
  </si>
  <si>
    <t>Арендная плата и пост. от продажи права на заключение договоров аренды за земли</t>
  </si>
  <si>
    <t>Возврат остатков субсидий и субвенций</t>
  </si>
  <si>
    <t>Возврат остатков  субсидий и субвенций из бюджетов муниципальных районов</t>
  </si>
  <si>
    <t>3.</t>
  </si>
  <si>
    <t xml:space="preserve">Задолженность по отмененным налогам и сборам </t>
  </si>
  <si>
    <t>Госпошлина местных бюджетов</t>
  </si>
  <si>
    <t>Доходы от реализации имущества находящегося в ведении органов муниципальных районов</t>
  </si>
  <si>
    <t>Платежи от муниципальных предприятий</t>
  </si>
  <si>
    <t>2.1.4.</t>
  </si>
  <si>
    <t>Прочие доходы от  использования имущества</t>
  </si>
  <si>
    <t>3.1.</t>
  </si>
  <si>
    <t>в том числе:</t>
  </si>
  <si>
    <t>Доходы от аренды нежилого фонда</t>
  </si>
  <si>
    <t>Начальник бюджетного отдела</t>
  </si>
  <si>
    <t xml:space="preserve">Оценка ожидаемого исполнения бюджета Воскресенского муниципального района по </t>
  </si>
  <si>
    <t>Уточненный план год</t>
  </si>
  <si>
    <t>План МФ в райбюджет</t>
  </si>
  <si>
    <t>Отклонение от первоначального плана МФ (+,-)</t>
  </si>
  <si>
    <t>№п.п.</t>
  </si>
  <si>
    <t>Безвозмездные поступления</t>
  </si>
  <si>
    <t>Дотации всего</t>
  </si>
  <si>
    <t>3.2.</t>
  </si>
  <si>
    <t>Субсидии всего</t>
  </si>
  <si>
    <t>Субвенции всего</t>
  </si>
  <si>
    <t>3.3.</t>
  </si>
  <si>
    <t>Иные межбюджетные трансферты</t>
  </si>
  <si>
    <t>4.</t>
  </si>
  <si>
    <t>ВСЕГО ДОХОДОВ</t>
  </si>
  <si>
    <t>Безвозмездные поступления от других бюджетов</t>
  </si>
  <si>
    <t>3.1.1.</t>
  </si>
  <si>
    <t>3.1.2.</t>
  </si>
  <si>
    <t>3.1.3.</t>
  </si>
  <si>
    <t>3.1.4.</t>
  </si>
  <si>
    <t>в том числе: налог на доходы физических лиц на основании патента</t>
  </si>
  <si>
    <t>1.2.3.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</si>
  <si>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</si>
  <si>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</si>
  <si>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безвозмездные поступления</t>
  </si>
  <si>
    <t>Прочие доходы от компенсации затрат бюджетов</t>
  </si>
  <si>
    <t xml:space="preserve">Доходы, поступающие в порядке возмещения расходов, понесенных в связи с эксплуатацией  имущества </t>
  </si>
  <si>
    <t>2.3.3.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</si>
  <si>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</si>
  <si>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</t>
  </si>
  <si>
    <t>В.Н.Лукашевич</t>
  </si>
  <si>
    <t>Налог, взимаемый в связи с применением патентной системы налогообложения</t>
  </si>
  <si>
    <t xml:space="preserve">Оценка поступления за 11 месяцев 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</si>
  <si>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</si>
  <si>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3.4.</t>
  </si>
  <si>
    <t>Оценка исполнения 2018 года</t>
  </si>
  <si>
    <t>факт на 14.11.17</t>
  </si>
  <si>
    <t>факт за 10 мес.+ план на ноябрь</t>
  </si>
  <si>
    <t>по факту на 14.11.2018</t>
  </si>
  <si>
    <t>доходам за 2018 год на 14 ноября 2018 года</t>
  </si>
  <si>
    <t>по данным КУМИ</t>
  </si>
  <si>
    <t>(завышен план)</t>
  </si>
  <si>
    <t>ЕСХН</t>
  </si>
  <si>
    <t>по факту на 07.11.2018</t>
  </si>
  <si>
    <t>(продажа не планируется)</t>
  </si>
  <si>
    <t>Оценка исполнения 2019 года</t>
  </si>
  <si>
    <t>факт на 07.11.2019</t>
  </si>
  <si>
    <t>доходам за 2019 год на 07 ноября 2019 года</t>
  </si>
  <si>
    <t>доходам за 2019 год на 02 ноября 2020 года</t>
  </si>
  <si>
    <t>УСН</t>
  </si>
  <si>
    <t>1.2.4.</t>
  </si>
  <si>
    <t>1.2.5.</t>
  </si>
  <si>
    <t>по факту на 01.11.2020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</si>
  <si>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</si>
  <si>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>2.3.4.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</si>
  <si>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</si>
  <si>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факт на 01.11.2020</t>
  </si>
  <si>
    <t>Оценка исполнения 2020 года</t>
  </si>
  <si>
    <t>(продажа гаражей ул. коммунистическая)</t>
  </si>
  <si>
    <t>(готовятся 5 договоров на увелич. Зем. Участков)</t>
  </si>
  <si>
    <t>факт за 10 мес.</t>
  </si>
  <si>
    <t>доходам за 2021 год на 01 ноября 2021 года</t>
  </si>
  <si>
    <t>Первоначальный план МФ в райбюджет</t>
  </si>
  <si>
    <t>УСНО</t>
  </si>
  <si>
    <t>факт на 01.11.2021</t>
  </si>
  <si>
    <t>факт/10*11(12)</t>
  </si>
  <si>
    <t>(продажа комнаты)</t>
  </si>
  <si>
    <t>Оценка исполнения 2021 года</t>
  </si>
  <si>
    <t>доходам за 2022 год на 01 ноября 2022 года</t>
  </si>
  <si>
    <t>факт на 01.11.2022</t>
  </si>
  <si>
    <t>Оценка исполнения 2022 года</t>
  </si>
  <si>
    <t>факт +КП</t>
  </si>
  <si>
    <t>факт/10*12</t>
  </si>
  <si>
    <t>факт</t>
  </si>
  <si>
    <t>по факту на 01.11.2022</t>
  </si>
  <si>
    <t>Предоставление негосударственными организациями грантов для получателей средств бюджетов муниципальных районов</t>
  </si>
  <si>
    <t>Исп.Комарова ЕВ 91246</t>
  </si>
  <si>
    <t>факт /10*12</t>
  </si>
  <si>
    <t>в том числе 650</t>
  </si>
  <si>
    <t xml:space="preserve">Налог на имущество </t>
  </si>
  <si>
    <t>Земельный налог</t>
  </si>
  <si>
    <t>1.3.1.</t>
  </si>
  <si>
    <t>1.3.2.</t>
  </si>
  <si>
    <t>1.5.</t>
  </si>
  <si>
    <t xml:space="preserve">Доходы от сдачи в аренду имущества </t>
  </si>
  <si>
    <t>Доходы от продажи земли</t>
  </si>
  <si>
    <t>Инициативные платежи</t>
  </si>
  <si>
    <t>Плата по соглашению сервитута</t>
  </si>
  <si>
    <t>факт на 01.11.2023</t>
  </si>
  <si>
    <t>Оценка исполнения 2023 года</t>
  </si>
  <si>
    <t>Доходы от приватизации имущества</t>
  </si>
  <si>
    <t xml:space="preserve">Оценка ожидаемого исполнения бюджета Воскресенского муниципального округа по доходам за 2023 год на 01 ноября 2023 года </t>
  </si>
  <si>
    <t>1.1.1.</t>
  </si>
  <si>
    <t>1.1.2.</t>
  </si>
  <si>
    <t>1.3.4.</t>
  </si>
  <si>
    <t>1.4.1.</t>
  </si>
  <si>
    <t>1.4.2.</t>
  </si>
  <si>
    <t>1.6.</t>
  </si>
  <si>
    <t>Акцизы по подакцизным товарам, производимым на территории РФ</t>
  </si>
  <si>
    <t>Налоги на имущество, в т.ч.</t>
  </si>
  <si>
    <t>Государственная пошлина</t>
  </si>
  <si>
    <t>Арендная плата за землю</t>
  </si>
  <si>
    <t>2.4.1.</t>
  </si>
  <si>
    <t>2.4.2.</t>
  </si>
  <si>
    <t>2.7.</t>
  </si>
  <si>
    <t>Прочие неналоговые доходы</t>
  </si>
  <si>
    <t>2.8.</t>
  </si>
  <si>
    <t>2.4.3.</t>
  </si>
  <si>
    <t>2.4.4.</t>
  </si>
  <si>
    <t>Доходы от оказания платных услуг (работ) и компенсации затрат</t>
  </si>
  <si>
    <t xml:space="preserve">Оценка ожидаемого исполнения бюджета Воскресенского муниципального округа по доходам за 2024 год на 01 ноября 2024 года </t>
  </si>
  <si>
    <t>тыс.рублей</t>
  </si>
  <si>
    <t xml:space="preserve">Первоначальный план МФ в бюджет </t>
  </si>
  <si>
    <t>факт на 01.11.2024</t>
  </si>
  <si>
    <t>Оценка исполнения 2024 года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</si>
  <si>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</si>
  <si>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</si>
  <si>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к факту прибавила план ноября и декабря</t>
  </si>
  <si>
    <t>добавила к плану согласование</t>
  </si>
  <si>
    <t>на уровне плана</t>
  </si>
  <si>
    <t>на уровне факта, план ноября, декабря 0</t>
  </si>
  <si>
    <t xml:space="preserve">на уровне факта  </t>
  </si>
  <si>
    <t>не планируем</t>
  </si>
  <si>
    <t xml:space="preserve">на уровне факта   </t>
  </si>
  <si>
    <t xml:space="preserve">Оценка ожидаемого исполнения бюджета Воскресенского муниципального округа по доходам за 2025 год на 01 ноября 2025 года </t>
  </si>
  <si>
    <t>факт на 01.11.2025</t>
  </si>
  <si>
    <t>Оценка исполнения 2025 года</t>
  </si>
  <si>
    <t>налог в части суммы, превышающей 312 тысяч рублей, относящейся к части налоговой базы, превышающей 2,4 миллиона рублей</t>
  </si>
  <si>
    <t>Доходы от компенсации затрат бюджета</t>
  </si>
  <si>
    <t>Доходы от реализации имущества, находящегося в оперативном управлении учреждений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</si>
  <si>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</si>
  <si>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муниципальных округов от возврата автономными учреждениями остатков субсидий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</si>
</sst>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"/>
    <numFmt numFmtId="166" formatCode="#,##0.0"/>
    <numFmt numFmtId="167" formatCode="#,##0.00_ ;\-#,##0.00\ "/>
    <numFmt numFmtId="168" formatCode="#,##0.00000"/>
  </numFmts>
  <fonts count="38" x14ac:knownFonts="1">
    <font>
      <sz val="10"/>
      <name val="Arial Cyr"/>
      <charset val="204"/>
    </font>
    <font>
      <sz val="36"/>
      <name val="Arial Cyr"/>
      <charset val="204"/>
    </font>
    <font>
      <b/>
      <sz val="48"/>
      <name val="Arial Cyr"/>
      <charset val="204"/>
    </font>
    <font>
      <b/>
      <sz val="36"/>
      <name val="Arial Cyr"/>
      <charset val="204"/>
    </font>
    <font>
      <b/>
      <sz val="36"/>
      <name val="Arial"/>
      <family val="2"/>
      <charset val="204"/>
    </font>
    <font>
      <sz val="36"/>
      <name val="Arial"/>
      <family val="2"/>
      <charset val="204"/>
    </font>
    <font>
      <sz val="48"/>
      <name val="Arial"/>
      <family val="2"/>
      <charset val="204"/>
    </font>
    <font>
      <b/>
      <sz val="48"/>
      <name val="Arial"/>
      <family val="2"/>
      <charset val="204"/>
    </font>
    <font>
      <i/>
      <sz val="36"/>
      <name val="Arial"/>
      <family val="2"/>
      <charset val="204"/>
    </font>
    <font>
      <b/>
      <i/>
      <sz val="36"/>
      <name val="Arial"/>
      <family val="2"/>
      <charset val="204"/>
    </font>
    <font>
      <b/>
      <sz val="36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"/>
      <family val="2"/>
      <charset val="204"/>
    </font>
    <font>
      <sz val="36"/>
      <color rgb="FFFF0000"/>
      <name val="Arial"/>
      <family val="2"/>
      <charset val="204"/>
    </font>
    <font>
      <sz val="10"/>
      <color rgb="FFFF0000"/>
      <name val="Arial Cyr"/>
      <charset val="204"/>
    </font>
    <font>
      <sz val="36"/>
      <color theme="1"/>
      <name val="Times New Roman"/>
      <family val="1"/>
      <charset val="204"/>
    </font>
    <font>
      <b/>
      <sz val="48"/>
      <color theme="1"/>
      <name val="Arial"/>
      <family val="2"/>
      <charset val="204"/>
    </font>
    <font>
      <sz val="36"/>
      <color theme="1"/>
      <name val="Arial"/>
      <family val="2"/>
      <charset val="204"/>
    </font>
    <font>
      <sz val="10"/>
      <name val="Arial Cyr"/>
      <charset val="204"/>
    </font>
    <font>
      <b/>
      <sz val="30"/>
      <name val="Arial"/>
      <family val="2"/>
      <charset val="204"/>
    </font>
    <font>
      <sz val="30"/>
      <name val="Arial"/>
      <family val="2"/>
      <charset val="204"/>
    </font>
    <font>
      <sz val="32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b/>
      <sz val="28"/>
      <name val="Arial"/>
      <family val="2"/>
      <charset val="204"/>
    </font>
    <font>
      <sz val="28"/>
      <name val="Arial"/>
      <family val="2"/>
      <charset val="204"/>
    </font>
    <font>
      <b/>
      <sz val="28"/>
      <color rgb="FFFF0000"/>
      <name val="Arial"/>
      <family val="2"/>
      <charset val="204"/>
    </font>
    <font>
      <i/>
      <sz val="28"/>
      <name val="Arial"/>
      <family val="2"/>
      <charset val="204"/>
    </font>
    <font>
      <b/>
      <i/>
      <sz val="28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493">
    <xf numFmtId="0" fontId="0" fillId="0" borderId="0" xfId="0"/>
    <xf numFmtId="0" fontId="1" fillId="0" borderId="0" xfId="0" applyFont="1"/>
    <xf numFmtId="0" fontId="5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0" borderId="6" xfId="0" applyFont="1" applyBorder="1"/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4" fillId="0" borderId="9" xfId="0" applyFont="1" applyBorder="1"/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4" fillId="0" borderId="1" xfId="0" applyFont="1" applyBorder="1"/>
    <xf numFmtId="0" fontId="4" fillId="0" borderId="13" xfId="0" applyFont="1" applyBorder="1"/>
    <xf numFmtId="0" fontId="4" fillId="0" borderId="14" xfId="0" applyFont="1" applyBorder="1"/>
    <xf numFmtId="16" fontId="5" fillId="0" borderId="1" xfId="0" applyNumberFormat="1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3" xfId="0" applyFont="1" applyBorder="1"/>
    <xf numFmtId="0" fontId="5" fillId="0" borderId="14" xfId="0" applyFont="1" applyBorder="1"/>
    <xf numFmtId="16" fontId="4" fillId="0" borderId="1" xfId="0" applyNumberFormat="1" applyFont="1" applyBorder="1"/>
    <xf numFmtId="0" fontId="3" fillId="0" borderId="0" xfId="0" applyFont="1"/>
    <xf numFmtId="0" fontId="4" fillId="0" borderId="2" xfId="0" applyFont="1" applyFill="1" applyBorder="1" applyAlignment="1">
      <alignment wrapText="1"/>
    </xf>
    <xf numFmtId="0" fontId="4" fillId="0" borderId="1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2" borderId="1" xfId="0" applyFont="1" applyFill="1" applyBorder="1"/>
    <xf numFmtId="0" fontId="5" fillId="2" borderId="1" xfId="0" applyFont="1" applyFill="1" applyBorder="1"/>
    <xf numFmtId="0" fontId="0" fillId="0" borderId="13" xfId="0" applyBorder="1"/>
    <xf numFmtId="0" fontId="0" fillId="3" borderId="0" xfId="0" applyFill="1"/>
    <xf numFmtId="165" fontId="1" fillId="0" borderId="0" xfId="0" applyNumberFormat="1" applyFont="1"/>
    <xf numFmtId="2" fontId="1" fillId="0" borderId="0" xfId="0" applyNumberFormat="1" applyFont="1"/>
    <xf numFmtId="166" fontId="4" fillId="3" borderId="15" xfId="0" applyNumberFormat="1" applyFont="1" applyFill="1" applyBorder="1" applyAlignment="1">
      <alignment horizontal="center"/>
    </xf>
    <xf numFmtId="166" fontId="4" fillId="0" borderId="15" xfId="0" applyNumberFormat="1" applyFont="1" applyBorder="1" applyAlignment="1">
      <alignment horizontal="center"/>
    </xf>
    <xf numFmtId="166" fontId="8" fillId="3" borderId="15" xfId="0" applyNumberFormat="1" applyFont="1" applyFill="1" applyBorder="1" applyAlignment="1">
      <alignment horizontal="center"/>
    </xf>
    <xf numFmtId="166" fontId="5" fillId="3" borderId="15" xfId="0" applyNumberFormat="1" applyFont="1" applyFill="1" applyBorder="1" applyAlignment="1">
      <alignment horizontal="center"/>
    </xf>
    <xf numFmtId="166" fontId="5" fillId="3" borderId="14" xfId="0" applyNumberFormat="1" applyFont="1" applyFill="1" applyBorder="1" applyAlignment="1">
      <alignment horizontal="center"/>
    </xf>
    <xf numFmtId="166" fontId="5" fillId="3" borderId="12" xfId="0" applyNumberFormat="1" applyFont="1" applyFill="1" applyBorder="1" applyAlignment="1">
      <alignment horizontal="center"/>
    </xf>
    <xf numFmtId="166" fontId="5" fillId="0" borderId="1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166" fontId="5" fillId="0" borderId="5" xfId="0" applyNumberFormat="1" applyFont="1" applyFill="1" applyBorder="1" applyAlignment="1">
      <alignment horizontal="center"/>
    </xf>
    <xf numFmtId="166" fontId="7" fillId="3" borderId="15" xfId="0" applyNumberFormat="1" applyFont="1" applyFill="1" applyBorder="1" applyAlignment="1">
      <alignment horizontal="center"/>
    </xf>
    <xf numFmtId="166" fontId="7" fillId="4" borderId="15" xfId="0" applyNumberFormat="1" applyFont="1" applyFill="1" applyBorder="1" applyAlignment="1">
      <alignment horizontal="center"/>
    </xf>
    <xf numFmtId="0" fontId="6" fillId="4" borderId="9" xfId="0" applyFont="1" applyFill="1" applyBorder="1"/>
    <xf numFmtId="166" fontId="7" fillId="4" borderId="12" xfId="0" applyNumberFormat="1" applyFont="1" applyFill="1" applyBorder="1" applyAlignment="1">
      <alignment horizontal="center"/>
    </xf>
    <xf numFmtId="0" fontId="6" fillId="4" borderId="1" xfId="0" applyFont="1" applyFill="1" applyBorder="1"/>
    <xf numFmtId="166" fontId="7" fillId="4" borderId="15" xfId="0" applyNumberFormat="1" applyFont="1" applyFill="1" applyBorder="1" applyAlignment="1">
      <alignment horizontal="right"/>
    </xf>
    <xf numFmtId="166" fontId="7" fillId="5" borderId="12" xfId="0" applyNumberFormat="1" applyFont="1" applyFill="1" applyBorder="1" applyAlignment="1">
      <alignment horizontal="center"/>
    </xf>
    <xf numFmtId="166" fontId="4" fillId="5" borderId="15" xfId="0" applyNumberFormat="1" applyFont="1" applyFill="1" applyBorder="1" applyAlignment="1">
      <alignment horizontal="center"/>
    </xf>
    <xf numFmtId="166" fontId="8" fillId="5" borderId="15" xfId="0" applyNumberFormat="1" applyFont="1" applyFill="1" applyBorder="1" applyAlignment="1">
      <alignment horizontal="center"/>
    </xf>
    <xf numFmtId="166" fontId="5" fillId="5" borderId="15" xfId="0" applyNumberFormat="1" applyFont="1" applyFill="1" applyBorder="1" applyAlignment="1">
      <alignment horizontal="center"/>
    </xf>
    <xf numFmtId="166" fontId="7" fillId="5" borderId="15" xfId="0" applyNumberFormat="1" applyFont="1" applyFill="1" applyBorder="1" applyAlignment="1">
      <alignment horizontal="center"/>
    </xf>
    <xf numFmtId="166" fontId="4" fillId="5" borderId="5" xfId="0" applyNumberFormat="1" applyFont="1" applyFill="1" applyBorder="1" applyAlignment="1">
      <alignment horizontal="center"/>
    </xf>
    <xf numFmtId="166" fontId="5" fillId="5" borderId="5" xfId="0" applyNumberFormat="1" applyFont="1" applyFill="1" applyBorder="1" applyAlignment="1">
      <alignment horizontal="center"/>
    </xf>
    <xf numFmtId="166" fontId="7" fillId="5" borderId="15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10" fillId="0" borderId="0" xfId="0" applyFont="1"/>
    <xf numFmtId="0" fontId="10" fillId="0" borderId="0" xfId="0" applyFont="1" applyFill="1"/>
    <xf numFmtId="0" fontId="11" fillId="0" borderId="0" xfId="0" applyFont="1"/>
    <xf numFmtId="0" fontId="11" fillId="0" borderId="0" xfId="0" applyFont="1" applyFill="1"/>
    <xf numFmtId="0" fontId="12" fillId="5" borderId="2" xfId="0" applyFont="1" applyFill="1" applyBorder="1" applyAlignment="1">
      <alignment horizontal="center" wrapText="1"/>
    </xf>
    <xf numFmtId="166" fontId="12" fillId="3" borderId="15" xfId="0" applyNumberFormat="1" applyFont="1" applyFill="1" applyBorder="1" applyAlignment="1">
      <alignment horizontal="center"/>
    </xf>
    <xf numFmtId="165" fontId="12" fillId="2" borderId="0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1" fillId="0" borderId="0" xfId="0" applyFont="1" applyBorder="1"/>
    <xf numFmtId="0" fontId="14" fillId="0" borderId="0" xfId="0" applyFont="1"/>
    <xf numFmtId="0" fontId="14" fillId="0" borderId="0" xfId="0" applyFont="1" applyFill="1"/>
    <xf numFmtId="0" fontId="15" fillId="6" borderId="1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166" fontId="16" fillId="4" borderId="15" xfId="0" applyNumberFormat="1" applyFont="1" applyFill="1" applyBorder="1" applyAlignment="1">
      <alignment horizontal="center"/>
    </xf>
    <xf numFmtId="166" fontId="16" fillId="3" borderId="15" xfId="0" applyNumberFormat="1" applyFont="1" applyFill="1" applyBorder="1" applyAlignment="1">
      <alignment horizontal="center"/>
    </xf>
    <xf numFmtId="166" fontId="17" fillId="3" borderId="15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6" fontId="4" fillId="3" borderId="5" xfId="0" applyNumberFormat="1" applyFont="1" applyFill="1" applyBorder="1" applyAlignment="1">
      <alignment horizontal="center"/>
    </xf>
    <xf numFmtId="0" fontId="1" fillId="3" borderId="0" xfId="0" applyFont="1" applyFill="1"/>
    <xf numFmtId="0" fontId="5" fillId="0" borderId="0" xfId="0" applyFont="1" applyAlignment="1">
      <alignment horizontal="left" wrapText="1"/>
    </xf>
    <xf numFmtId="166" fontId="4" fillId="5" borderId="12" xfId="0" applyNumberFormat="1" applyFont="1" applyFill="1" applyBorder="1" applyAlignment="1">
      <alignment horizontal="center"/>
    </xf>
    <xf numFmtId="0" fontId="5" fillId="0" borderId="9" xfId="0" applyFont="1" applyBorder="1"/>
    <xf numFmtId="0" fontId="5" fillId="4" borderId="17" xfId="0" applyFont="1" applyFill="1" applyBorder="1"/>
    <xf numFmtId="0" fontId="4" fillId="0" borderId="10" xfId="0" applyFont="1" applyBorder="1"/>
    <xf numFmtId="0" fontId="4" fillId="0" borderId="11" xfId="0" applyFont="1" applyBorder="1"/>
    <xf numFmtId="166" fontId="4" fillId="3" borderId="12" xfId="0" applyNumberFormat="1" applyFont="1" applyFill="1" applyBorder="1" applyAlignment="1">
      <alignment horizontal="center"/>
    </xf>
    <xf numFmtId="166" fontId="4" fillId="4" borderId="17" xfId="0" applyNumberFormat="1" applyFont="1" applyFill="1" applyBorder="1" applyAlignment="1">
      <alignment horizontal="center"/>
    </xf>
    <xf numFmtId="166" fontId="4" fillId="5" borderId="17" xfId="0" applyNumberFormat="1" applyFont="1" applyFill="1" applyBorder="1" applyAlignment="1">
      <alignment horizontal="center"/>
    </xf>
    <xf numFmtId="166" fontId="12" fillId="3" borderId="12" xfId="0" applyNumberFormat="1" applyFont="1" applyFill="1" applyBorder="1" applyAlignment="1">
      <alignment horizontal="center"/>
    </xf>
    <xf numFmtId="166" fontId="4" fillId="0" borderId="1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167" fontId="5" fillId="6" borderId="15" xfId="1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16" fontId="5" fillId="0" borderId="2" xfId="0" applyNumberFormat="1" applyFont="1" applyBorder="1"/>
    <xf numFmtId="166" fontId="4" fillId="0" borderId="5" xfId="0" applyNumberFormat="1" applyFont="1" applyBorder="1" applyAlignment="1">
      <alignment horizontal="center"/>
    </xf>
    <xf numFmtId="0" fontId="5" fillId="2" borderId="9" xfId="0" applyFont="1" applyFill="1" applyBorder="1"/>
    <xf numFmtId="0" fontId="4" fillId="4" borderId="17" xfId="0" applyFont="1" applyFill="1" applyBorder="1"/>
    <xf numFmtId="0" fontId="5" fillId="2" borderId="2" xfId="0" applyFont="1" applyFill="1" applyBorder="1"/>
    <xf numFmtId="166" fontId="5" fillId="3" borderId="5" xfId="0" applyNumberFormat="1" applyFont="1" applyFill="1" applyBorder="1" applyAlignment="1">
      <alignment horizontal="center"/>
    </xf>
    <xf numFmtId="0" fontId="5" fillId="7" borderId="17" xfId="0" applyFont="1" applyFill="1" applyBorder="1"/>
    <xf numFmtId="166" fontId="4" fillId="7" borderId="17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49" fontId="5" fillId="0" borderId="1" xfId="0" applyNumberFormat="1" applyFont="1" applyBorder="1"/>
    <xf numFmtId="0" fontId="0" fillId="0" borderId="0" xfId="0"/>
    <xf numFmtId="0" fontId="1" fillId="0" borderId="0" xfId="0" applyFont="1"/>
    <xf numFmtId="0" fontId="5" fillId="0" borderId="1" xfId="0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" xfId="0" applyFont="1" applyBorder="1"/>
    <xf numFmtId="16" fontId="5" fillId="0" borderId="1" xfId="0" applyNumberFormat="1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3" xfId="0" applyFont="1" applyBorder="1"/>
    <xf numFmtId="0" fontId="5" fillId="0" borderId="14" xfId="0" applyFont="1" applyBorder="1"/>
    <xf numFmtId="16" fontId="4" fillId="0" borderId="1" xfId="0" applyNumberFormat="1" applyFont="1" applyBorder="1"/>
    <xf numFmtId="0" fontId="3" fillId="0" borderId="0" xfId="0" applyFont="1"/>
    <xf numFmtId="0" fontId="5" fillId="2" borderId="1" xfId="0" applyFont="1" applyFill="1" applyBorder="1"/>
    <xf numFmtId="0" fontId="0" fillId="3" borderId="0" xfId="0" applyFill="1"/>
    <xf numFmtId="165" fontId="1" fillId="0" borderId="0" xfId="0" applyNumberFormat="1" applyFont="1"/>
    <xf numFmtId="2" fontId="1" fillId="0" borderId="0" xfId="0" applyNumberFormat="1" applyFont="1"/>
    <xf numFmtId="166" fontId="4" fillId="3" borderId="15" xfId="0" applyNumberFormat="1" applyFont="1" applyFill="1" applyBorder="1" applyAlignment="1">
      <alignment horizontal="center"/>
    </xf>
    <xf numFmtId="166" fontId="4" fillId="0" borderId="15" xfId="0" applyNumberFormat="1" applyFont="1" applyBorder="1" applyAlignment="1">
      <alignment horizontal="center"/>
    </xf>
    <xf numFmtId="166" fontId="8" fillId="3" borderId="15" xfId="0" applyNumberFormat="1" applyFont="1" applyFill="1" applyBorder="1" applyAlignment="1">
      <alignment horizontal="center"/>
    </xf>
    <xf numFmtId="166" fontId="5" fillId="3" borderId="15" xfId="0" applyNumberFormat="1" applyFont="1" applyFill="1" applyBorder="1" applyAlignment="1">
      <alignment horizontal="center"/>
    </xf>
    <xf numFmtId="166" fontId="5" fillId="3" borderId="14" xfId="0" applyNumberFormat="1" applyFont="1" applyFill="1" applyBorder="1" applyAlignment="1">
      <alignment horizontal="center"/>
    </xf>
    <xf numFmtId="166" fontId="5" fillId="3" borderId="12" xfId="0" applyNumberFormat="1" applyFont="1" applyFill="1" applyBorder="1" applyAlignment="1">
      <alignment horizontal="center"/>
    </xf>
    <xf numFmtId="166" fontId="5" fillId="0" borderId="1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166" fontId="5" fillId="0" borderId="5" xfId="0" applyNumberFormat="1" applyFont="1" applyFill="1" applyBorder="1" applyAlignment="1">
      <alignment horizontal="center"/>
    </xf>
    <xf numFmtId="166" fontId="4" fillId="5" borderId="15" xfId="0" applyNumberFormat="1" applyFont="1" applyFill="1" applyBorder="1" applyAlignment="1">
      <alignment horizontal="center"/>
    </xf>
    <xf numFmtId="166" fontId="8" fillId="5" borderId="15" xfId="0" applyNumberFormat="1" applyFont="1" applyFill="1" applyBorder="1" applyAlignment="1">
      <alignment horizontal="center"/>
    </xf>
    <xf numFmtId="166" fontId="5" fillId="5" borderId="15" xfId="0" applyNumberFormat="1" applyFont="1" applyFill="1" applyBorder="1" applyAlignment="1">
      <alignment horizontal="center"/>
    </xf>
    <xf numFmtId="166" fontId="4" fillId="5" borderId="5" xfId="0" applyNumberFormat="1" applyFont="1" applyFill="1" applyBorder="1" applyAlignment="1">
      <alignment horizontal="center"/>
    </xf>
    <xf numFmtId="166" fontId="5" fillId="5" borderId="5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165" fontId="12" fillId="2" borderId="0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left"/>
    </xf>
    <xf numFmtId="166" fontId="4" fillId="3" borderId="5" xfId="0" applyNumberFormat="1" applyFont="1" applyFill="1" applyBorder="1" applyAlignment="1">
      <alignment horizontal="center"/>
    </xf>
    <xf numFmtId="0" fontId="1" fillId="3" borderId="0" xfId="0" applyFont="1" applyFill="1"/>
    <xf numFmtId="166" fontId="4" fillId="5" borderId="12" xfId="0" applyNumberFormat="1" applyFont="1" applyFill="1" applyBorder="1" applyAlignment="1">
      <alignment horizontal="center"/>
    </xf>
    <xf numFmtId="0" fontId="5" fillId="0" borderId="9" xfId="0" applyFont="1" applyBorder="1"/>
    <xf numFmtId="0" fontId="5" fillId="4" borderId="17" xfId="0" applyFont="1" applyFill="1" applyBorder="1"/>
    <xf numFmtId="0" fontId="4" fillId="0" borderId="10" xfId="0" applyFont="1" applyBorder="1"/>
    <xf numFmtId="0" fontId="4" fillId="0" borderId="11" xfId="0" applyFont="1" applyBorder="1"/>
    <xf numFmtId="166" fontId="4" fillId="3" borderId="12" xfId="0" applyNumberFormat="1" applyFont="1" applyFill="1" applyBorder="1" applyAlignment="1">
      <alignment horizontal="center"/>
    </xf>
    <xf numFmtId="166" fontId="4" fillId="4" borderId="17" xfId="0" applyNumberFormat="1" applyFont="1" applyFill="1" applyBorder="1" applyAlignment="1">
      <alignment horizontal="center"/>
    </xf>
    <xf numFmtId="166" fontId="4" fillId="5" borderId="17" xfId="0" applyNumberFormat="1" applyFont="1" applyFill="1" applyBorder="1" applyAlignment="1">
      <alignment horizontal="center"/>
    </xf>
    <xf numFmtId="166" fontId="12" fillId="3" borderId="12" xfId="0" applyNumberFormat="1" applyFont="1" applyFill="1" applyBorder="1" applyAlignment="1">
      <alignment horizontal="center"/>
    </xf>
    <xf numFmtId="166" fontId="4" fillId="0" borderId="1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167" fontId="5" fillId="6" borderId="15" xfId="1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16" fontId="5" fillId="0" borderId="2" xfId="0" applyNumberFormat="1" applyFont="1" applyBorder="1"/>
    <xf numFmtId="166" fontId="4" fillId="0" borderId="5" xfId="0" applyNumberFormat="1" applyFont="1" applyBorder="1" applyAlignment="1">
      <alignment horizontal="center"/>
    </xf>
    <xf numFmtId="0" fontId="5" fillId="2" borderId="9" xfId="0" applyFont="1" applyFill="1" applyBorder="1"/>
    <xf numFmtId="0" fontId="4" fillId="4" borderId="17" xfId="0" applyFont="1" applyFill="1" applyBorder="1"/>
    <xf numFmtId="0" fontId="5" fillId="2" borderId="2" xfId="0" applyFont="1" applyFill="1" applyBorder="1"/>
    <xf numFmtId="166" fontId="5" fillId="3" borderId="5" xfId="0" applyNumberFormat="1" applyFont="1" applyFill="1" applyBorder="1" applyAlignment="1">
      <alignment horizontal="center"/>
    </xf>
    <xf numFmtId="0" fontId="5" fillId="7" borderId="17" xfId="0" applyFont="1" applyFill="1" applyBorder="1"/>
    <xf numFmtId="166" fontId="4" fillId="7" borderId="17" xfId="0" applyNumberFormat="1" applyFont="1" applyFill="1" applyBorder="1" applyAlignment="1">
      <alignment horizontal="center"/>
    </xf>
    <xf numFmtId="166" fontId="5" fillId="0" borderId="15" xfId="0" applyNumberFormat="1" applyFont="1" applyFill="1" applyBorder="1" applyAlignment="1">
      <alignment horizontal="center"/>
    </xf>
    <xf numFmtId="166" fontId="8" fillId="8" borderId="15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10" xfId="0" applyFont="1" applyBorder="1"/>
    <xf numFmtId="0" fontId="5" fillId="0" borderId="11" xfId="0" applyFont="1" applyBorder="1"/>
    <xf numFmtId="14" fontId="5" fillId="0" borderId="1" xfId="0" applyNumberFormat="1" applyFont="1" applyBorder="1"/>
    <xf numFmtId="0" fontId="21" fillId="0" borderId="0" xfId="0" applyFont="1"/>
    <xf numFmtId="0" fontId="22" fillId="0" borderId="0" xfId="0" applyFont="1"/>
    <xf numFmtId="0" fontId="25" fillId="4" borderId="17" xfId="0" applyFont="1" applyFill="1" applyBorder="1"/>
    <xf numFmtId="166" fontId="24" fillId="4" borderId="17" xfId="0" applyNumberFormat="1" applyFont="1" applyFill="1" applyBorder="1" applyAlignment="1">
      <alignment horizontal="center"/>
    </xf>
    <xf numFmtId="166" fontId="24" fillId="5" borderId="17" xfId="0" applyNumberFormat="1" applyFont="1" applyFill="1" applyBorder="1" applyAlignment="1">
      <alignment horizontal="center"/>
    </xf>
    <xf numFmtId="0" fontId="25" fillId="0" borderId="9" xfId="0" applyFont="1" applyBorder="1"/>
    <xf numFmtId="0" fontId="24" fillId="0" borderId="9" xfId="0" applyFont="1" applyBorder="1"/>
    <xf numFmtId="0" fontId="24" fillId="0" borderId="10" xfId="0" applyFont="1" applyBorder="1"/>
    <xf numFmtId="0" fontId="24" fillId="0" borderId="11" xfId="0" applyFont="1" applyBorder="1"/>
    <xf numFmtId="166" fontId="24" fillId="3" borderId="12" xfId="0" applyNumberFormat="1" applyFont="1" applyFill="1" applyBorder="1" applyAlignment="1">
      <alignment horizontal="center"/>
    </xf>
    <xf numFmtId="166" fontId="26" fillId="3" borderId="12" xfId="0" applyNumberFormat="1" applyFont="1" applyFill="1" applyBorder="1" applyAlignment="1">
      <alignment horizontal="center"/>
    </xf>
    <xf numFmtId="166" fontId="24" fillId="5" borderId="12" xfId="0" applyNumberFormat="1" applyFont="1" applyFill="1" applyBorder="1" applyAlignment="1">
      <alignment horizontal="center"/>
    </xf>
    <xf numFmtId="166" fontId="24" fillId="0" borderId="12" xfId="0" applyNumberFormat="1" applyFont="1" applyBorder="1" applyAlignment="1">
      <alignment horizontal="center"/>
    </xf>
    <xf numFmtId="16" fontId="25" fillId="0" borderId="1" xfId="0" applyNumberFormat="1" applyFont="1" applyBorder="1"/>
    <xf numFmtId="166" fontId="24" fillId="3" borderId="15" xfId="0" applyNumberFormat="1" applyFont="1" applyFill="1" applyBorder="1" applyAlignment="1">
      <alignment horizontal="center"/>
    </xf>
    <xf numFmtId="166" fontId="24" fillId="5" borderId="15" xfId="0" applyNumberFormat="1" applyFont="1" applyFill="1" applyBorder="1" applyAlignment="1">
      <alignment horizontal="center"/>
    </xf>
    <xf numFmtId="0" fontId="22" fillId="3" borderId="0" xfId="0" applyFont="1" applyFill="1"/>
    <xf numFmtId="166" fontId="27" fillId="3" borderId="15" xfId="0" applyNumberFormat="1" applyFont="1" applyFill="1" applyBorder="1" applyAlignment="1">
      <alignment horizontal="center"/>
    </xf>
    <xf numFmtId="166" fontId="27" fillId="5" borderId="15" xfId="0" applyNumberFormat="1" applyFont="1" applyFill="1" applyBorder="1" applyAlignment="1">
      <alignment horizontal="center"/>
    </xf>
    <xf numFmtId="166" fontId="27" fillId="8" borderId="15" xfId="0" applyNumberFormat="1" applyFont="1" applyFill="1" applyBorder="1" applyAlignment="1">
      <alignment horizontal="center"/>
    </xf>
    <xf numFmtId="166" fontId="25" fillId="3" borderId="15" xfId="0" applyNumberFormat="1" applyFont="1" applyFill="1" applyBorder="1" applyAlignment="1">
      <alignment horizontal="center"/>
    </xf>
    <xf numFmtId="16" fontId="24" fillId="0" borderId="1" xfId="0" applyNumberFormat="1" applyFont="1" applyBorder="1"/>
    <xf numFmtId="166" fontId="25" fillId="5" borderId="15" xfId="0" applyNumberFormat="1" applyFont="1" applyFill="1" applyBorder="1" applyAlignment="1">
      <alignment horizontal="center"/>
    </xf>
    <xf numFmtId="0" fontId="25" fillId="0" borderId="1" xfId="0" applyFont="1" applyBorder="1"/>
    <xf numFmtId="0" fontId="25" fillId="0" borderId="2" xfId="0" applyFont="1" applyBorder="1"/>
    <xf numFmtId="0" fontId="25" fillId="0" borderId="3" xfId="0" applyFont="1" applyBorder="1"/>
    <xf numFmtId="0" fontId="25" fillId="0" borderId="13" xfId="0" applyFont="1" applyBorder="1"/>
    <xf numFmtId="0" fontId="25" fillId="0" borderId="4" xfId="0" applyFont="1" applyBorder="1"/>
    <xf numFmtId="0" fontId="25" fillId="0" borderId="14" xfId="0" applyFont="1" applyBorder="1"/>
    <xf numFmtId="166" fontId="25" fillId="3" borderId="14" xfId="0" applyNumberFormat="1" applyFont="1" applyFill="1" applyBorder="1" applyAlignment="1">
      <alignment horizontal="center"/>
    </xf>
    <xf numFmtId="166" fontId="25" fillId="3" borderId="12" xfId="0" applyNumberFormat="1" applyFont="1" applyFill="1" applyBorder="1" applyAlignment="1">
      <alignment horizontal="center"/>
    </xf>
    <xf numFmtId="14" fontId="25" fillId="0" borderId="1" xfId="0" applyNumberFormat="1" applyFont="1" applyBorder="1"/>
    <xf numFmtId="0" fontId="25" fillId="0" borderId="10" xfId="0" applyFont="1" applyBorder="1"/>
    <xf numFmtId="0" fontId="25" fillId="0" borderId="11" xfId="0" applyFont="1" applyBorder="1"/>
    <xf numFmtId="0" fontId="24" fillId="0" borderId="1" xfId="0" applyFont="1" applyBorder="1"/>
    <xf numFmtId="0" fontId="24" fillId="0" borderId="2" xfId="0" applyFont="1" applyBorder="1"/>
    <xf numFmtId="166" fontId="24" fillId="3" borderId="5" xfId="0" applyNumberFormat="1" applyFont="1" applyFill="1" applyBorder="1" applyAlignment="1">
      <alignment horizontal="center"/>
    </xf>
    <xf numFmtId="166" fontId="24" fillId="5" borderId="5" xfId="0" applyNumberFormat="1" applyFont="1" applyFill="1" applyBorder="1" applyAlignment="1">
      <alignment horizontal="center"/>
    </xf>
    <xf numFmtId="165" fontId="22" fillId="0" borderId="0" xfId="0" applyNumberFormat="1" applyFont="1"/>
    <xf numFmtId="166" fontId="25" fillId="0" borderId="15" xfId="0" applyNumberFormat="1" applyFont="1" applyBorder="1" applyAlignment="1">
      <alignment horizontal="center"/>
    </xf>
    <xf numFmtId="166" fontId="24" fillId="0" borderId="15" xfId="0" applyNumberFormat="1" applyFont="1" applyBorder="1" applyAlignment="1">
      <alignment horizontal="center"/>
    </xf>
    <xf numFmtId="0" fontId="25" fillId="6" borderId="15" xfId="0" applyFont="1" applyFill="1" applyBorder="1" applyAlignment="1">
      <alignment horizontal="center"/>
    </xf>
    <xf numFmtId="167" fontId="25" fillId="6" borderId="15" xfId="1" applyNumberFormat="1" applyFont="1" applyFill="1" applyBorder="1" applyAlignment="1">
      <alignment horizontal="center"/>
    </xf>
    <xf numFmtId="0" fontId="24" fillId="3" borderId="1" xfId="0" applyFont="1" applyFill="1" applyBorder="1" applyAlignment="1">
      <alignment horizontal="left"/>
    </xf>
    <xf numFmtId="16" fontId="25" fillId="0" borderId="2" xfId="0" applyNumberFormat="1" applyFont="1" applyBorder="1"/>
    <xf numFmtId="166" fontId="25" fillId="0" borderId="5" xfId="0" applyNumberFormat="1" applyFont="1" applyBorder="1" applyAlignment="1">
      <alignment horizontal="center"/>
    </xf>
    <xf numFmtId="166" fontId="25" fillId="5" borderId="5" xfId="0" applyNumberFormat="1" applyFont="1" applyFill="1" applyBorder="1" applyAlignment="1">
      <alignment horizontal="center"/>
    </xf>
    <xf numFmtId="166" fontId="25" fillId="0" borderId="5" xfId="0" applyNumberFormat="1" applyFont="1" applyFill="1" applyBorder="1" applyAlignment="1">
      <alignment horizontal="center"/>
    </xf>
    <xf numFmtId="166" fontId="24" fillId="0" borderId="5" xfId="0" applyNumberFormat="1" applyFont="1" applyBorder="1" applyAlignment="1">
      <alignment horizontal="center"/>
    </xf>
    <xf numFmtId="0" fontId="25" fillId="7" borderId="17" xfId="0" applyFont="1" applyFill="1" applyBorder="1"/>
    <xf numFmtId="166" fontId="24" fillId="7" borderId="17" xfId="0" applyNumberFormat="1" applyFont="1" applyFill="1" applyBorder="1" applyAlignment="1">
      <alignment horizontal="center"/>
    </xf>
    <xf numFmtId="2" fontId="22" fillId="0" borderId="0" xfId="0" applyNumberFormat="1" applyFont="1"/>
    <xf numFmtId="0" fontId="24" fillId="4" borderId="17" xfId="0" applyFont="1" applyFill="1" applyBorder="1"/>
    <xf numFmtId="0" fontId="25" fillId="2" borderId="9" xfId="0" applyFont="1" applyFill="1" applyBorder="1"/>
    <xf numFmtId="0" fontId="25" fillId="2" borderId="1" xfId="0" applyFont="1" applyFill="1" applyBorder="1"/>
    <xf numFmtId="166" fontId="25" fillId="0" borderId="15" xfId="0" applyNumberFormat="1" applyFont="1" applyFill="1" applyBorder="1" applyAlignment="1">
      <alignment horizontal="center"/>
    </xf>
    <xf numFmtId="0" fontId="25" fillId="2" borderId="2" xfId="0" applyFont="1" applyFill="1" applyBorder="1"/>
    <xf numFmtId="166" fontId="25" fillId="3" borderId="5" xfId="0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 wrapText="1"/>
    </xf>
    <xf numFmtId="165" fontId="26" fillId="2" borderId="0" xfId="0" applyNumberFormat="1" applyFont="1" applyFill="1" applyBorder="1" applyAlignment="1">
      <alignment horizontal="center"/>
    </xf>
    <xf numFmtId="0" fontId="0" fillId="0" borderId="0" xfId="0" applyFont="1"/>
    <xf numFmtId="166" fontId="30" fillId="3" borderId="15" xfId="0" applyNumberFormat="1" applyFont="1" applyFill="1" applyBorder="1" applyAlignment="1">
      <alignment horizontal="center"/>
    </xf>
    <xf numFmtId="166" fontId="33" fillId="3" borderId="15" xfId="0" applyNumberFormat="1" applyFont="1" applyFill="1" applyBorder="1" applyAlignment="1">
      <alignment horizontal="center"/>
    </xf>
    <xf numFmtId="166" fontId="31" fillId="3" borderId="15" xfId="0" applyNumberFormat="1" applyFont="1" applyFill="1" applyBorder="1" applyAlignment="1">
      <alignment horizontal="center"/>
    </xf>
    <xf numFmtId="165" fontId="0" fillId="0" borderId="0" xfId="0" applyNumberFormat="1" applyFont="1"/>
    <xf numFmtId="166" fontId="31" fillId="0" borderId="15" xfId="0" applyNumberFormat="1" applyFont="1" applyBorder="1" applyAlignment="1">
      <alignment horizontal="center"/>
    </xf>
    <xf numFmtId="166" fontId="30" fillId="0" borderId="15" xfId="0" applyNumberFormat="1" applyFont="1" applyBorder="1" applyAlignment="1">
      <alignment horizontal="center"/>
    </xf>
    <xf numFmtId="0" fontId="31" fillId="3" borderId="15" xfId="0" applyFont="1" applyFill="1" applyBorder="1" applyAlignment="1">
      <alignment horizontal="center"/>
    </xf>
    <xf numFmtId="167" fontId="31" fillId="3" borderId="15" xfId="1" applyNumberFormat="1" applyFont="1" applyFill="1" applyBorder="1" applyAlignment="1">
      <alignment horizontal="center"/>
    </xf>
    <xf numFmtId="0" fontId="31" fillId="0" borderId="0" xfId="0" applyFont="1" applyBorder="1" applyAlignment="1">
      <alignment horizontal="center" wrapText="1"/>
    </xf>
    <xf numFmtId="165" fontId="32" fillId="2" borderId="0" xfId="0" applyNumberFormat="1" applyFont="1" applyFill="1" applyBorder="1" applyAlignment="1">
      <alignment horizontal="center"/>
    </xf>
    <xf numFmtId="166" fontId="30" fillId="4" borderId="15" xfId="0" applyNumberFormat="1" applyFont="1" applyFill="1" applyBorder="1" applyAlignment="1">
      <alignment horizontal="center"/>
    </xf>
    <xf numFmtId="0" fontId="31" fillId="0" borderId="15" xfId="0" applyFont="1" applyBorder="1" applyAlignment="1"/>
    <xf numFmtId="0" fontId="30" fillId="0" borderId="15" xfId="0" applyFont="1" applyBorder="1" applyAlignment="1"/>
    <xf numFmtId="166" fontId="32" fillId="3" borderId="15" xfId="0" applyNumberFormat="1" applyFont="1" applyFill="1" applyBorder="1" applyAlignment="1">
      <alignment horizontal="center"/>
    </xf>
    <xf numFmtId="16" fontId="31" fillId="0" borderId="15" xfId="0" applyNumberFormat="1" applyFont="1" applyBorder="1" applyAlignment="1"/>
    <xf numFmtId="16" fontId="30" fillId="0" borderId="15" xfId="0" applyNumberFormat="1" applyFont="1" applyBorder="1" applyAlignment="1"/>
    <xf numFmtId="2" fontId="31" fillId="0" borderId="15" xfId="0" applyNumberFormat="1" applyFont="1" applyBorder="1" applyAlignment="1"/>
    <xf numFmtId="0" fontId="31" fillId="7" borderId="15" xfId="0" applyFont="1" applyFill="1" applyBorder="1" applyAlignment="1"/>
    <xf numFmtId="166" fontId="30" fillId="7" borderId="15" xfId="0" applyNumberFormat="1" applyFont="1" applyFill="1" applyBorder="1" applyAlignment="1">
      <alignment horizontal="center"/>
    </xf>
    <xf numFmtId="0" fontId="30" fillId="4" borderId="15" xfId="0" applyFont="1" applyFill="1" applyBorder="1" applyAlignment="1"/>
    <xf numFmtId="0" fontId="31" fillId="2" borderId="15" xfId="0" applyFont="1" applyFill="1" applyBorder="1" applyAlignment="1"/>
    <xf numFmtId="166" fontId="30" fillId="9" borderId="15" xfId="0" applyNumberFormat="1" applyFont="1" applyFill="1" applyBorder="1" applyAlignment="1">
      <alignment horizontal="center"/>
    </xf>
    <xf numFmtId="166" fontId="33" fillId="9" borderId="15" xfId="0" applyNumberFormat="1" applyFont="1" applyFill="1" applyBorder="1" applyAlignment="1">
      <alignment horizontal="center"/>
    </xf>
    <xf numFmtId="166" fontId="31" fillId="9" borderId="15" xfId="0" applyNumberFormat="1" applyFont="1" applyFill="1" applyBorder="1" applyAlignment="1">
      <alignment horizontal="center"/>
    </xf>
    <xf numFmtId="0" fontId="30" fillId="0" borderId="15" xfId="0" applyFont="1" applyBorder="1" applyAlignment="1"/>
    <xf numFmtId="0" fontId="30" fillId="0" borderId="15" xfId="0" applyFont="1" applyBorder="1" applyAlignment="1"/>
    <xf numFmtId="0" fontId="31" fillId="0" borderId="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0" fillId="0" borderId="15" xfId="0" applyNumberFormat="1" applyFont="1" applyBorder="1" applyAlignment="1">
      <alignment horizontal="left"/>
    </xf>
    <xf numFmtId="0" fontId="31" fillId="0" borderId="15" xfId="0" applyNumberFormat="1" applyFont="1" applyBorder="1" applyAlignment="1"/>
    <xf numFmtId="165" fontId="29" fillId="0" borderId="0" xfId="0" applyNumberFormat="1" applyFont="1"/>
    <xf numFmtId="166" fontId="31" fillId="8" borderId="15" xfId="0" applyNumberFormat="1" applyFont="1" applyFill="1" applyBorder="1" applyAlignment="1">
      <alignment horizontal="center"/>
    </xf>
    <xf numFmtId="166" fontId="0" fillId="0" borderId="0" xfId="0" applyNumberFormat="1" applyFont="1"/>
    <xf numFmtId="166" fontId="31" fillId="0" borderId="15" xfId="0" applyNumberFormat="1" applyFont="1" applyFill="1" applyBorder="1" applyAlignment="1">
      <alignment horizontal="center"/>
    </xf>
    <xf numFmtId="166" fontId="30" fillId="0" borderId="15" xfId="0" applyNumberFormat="1" applyFont="1" applyFill="1" applyBorder="1" applyAlignment="1">
      <alignment horizontal="center"/>
    </xf>
    <xf numFmtId="166" fontId="35" fillId="0" borderId="0" xfId="0" applyNumberFormat="1" applyFont="1"/>
    <xf numFmtId="166" fontId="33" fillId="0" borderId="15" xfId="0" applyNumberFormat="1" applyFont="1" applyFill="1" applyBorder="1" applyAlignment="1">
      <alignment horizontal="center"/>
    </xf>
    <xf numFmtId="0" fontId="35" fillId="0" borderId="0" xfId="0" applyFont="1"/>
    <xf numFmtId="0" fontId="30" fillId="0" borderId="15" xfId="0" applyFont="1" applyFill="1" applyBorder="1" applyAlignment="1"/>
    <xf numFmtId="16" fontId="30" fillId="0" borderId="15" xfId="0" applyNumberFormat="1" applyFont="1" applyFill="1" applyBorder="1" applyAlignment="1"/>
    <xf numFmtId="0" fontId="0" fillId="0" borderId="10" xfId="0" applyBorder="1" applyAlignment="1">
      <alignment horizontal="center" wrapText="1"/>
    </xf>
    <xf numFmtId="0" fontId="30" fillId="0" borderId="15" xfId="0" applyFont="1" applyBorder="1" applyAlignment="1"/>
    <xf numFmtId="0" fontId="31" fillId="0" borderId="15" xfId="0" applyFont="1" applyBorder="1" applyAlignment="1">
      <alignment horizontal="left" wrapText="1"/>
    </xf>
    <xf numFmtId="168" fontId="30" fillId="3" borderId="15" xfId="0" applyNumberFormat="1" applyFont="1" applyFill="1" applyBorder="1" applyAlignment="1">
      <alignment horizontal="center"/>
    </xf>
    <xf numFmtId="168" fontId="35" fillId="0" borderId="0" xfId="0" applyNumberFormat="1" applyFont="1"/>
    <xf numFmtId="0" fontId="30" fillId="10" borderId="15" xfId="0" applyFont="1" applyFill="1" applyBorder="1" applyAlignment="1"/>
    <xf numFmtId="166" fontId="30" fillId="10" borderId="15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 wrapText="1"/>
    </xf>
    <xf numFmtId="165" fontId="37" fillId="2" borderId="0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 wrapText="1"/>
    </xf>
    <xf numFmtId="0" fontId="7" fillId="4" borderId="13" xfId="0" applyFont="1" applyFill="1" applyBorder="1" applyAlignment="1">
      <alignment horizontal="left" wrapText="1"/>
    </xf>
    <xf numFmtId="0" fontId="7" fillId="4" borderId="14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13" xfId="0" applyFont="1" applyFill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4" fillId="0" borderId="1" xfId="0" applyFont="1" applyBorder="1" applyAlignment="1"/>
    <xf numFmtId="0" fontId="4" fillId="0" borderId="13" xfId="0" applyFont="1" applyBorder="1" applyAlignment="1"/>
    <xf numFmtId="0" fontId="4" fillId="0" borderId="14" xfId="0" applyFont="1" applyBorder="1" applyAlignment="1"/>
    <xf numFmtId="0" fontId="4" fillId="0" borderId="1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0" fontId="4" fillId="0" borderId="14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4" fillId="3" borderId="14" xfId="0" applyFont="1" applyFill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7" fillId="4" borderId="1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4" fillId="7" borderId="28" xfId="0" applyFont="1" applyFill="1" applyBorder="1" applyAlignment="1">
      <alignment horizontal="left" wrapText="1"/>
    </xf>
    <xf numFmtId="0" fontId="4" fillId="7" borderId="29" xfId="0" applyFont="1" applyFill="1" applyBorder="1" applyAlignment="1">
      <alignment horizontal="left" wrapText="1"/>
    </xf>
    <xf numFmtId="0" fontId="4" fillId="7" borderId="30" xfId="0" applyFont="1" applyFill="1" applyBorder="1" applyAlignment="1">
      <alignment horizontal="left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4" fillId="4" borderId="28" xfId="0" applyFont="1" applyFill="1" applyBorder="1" applyAlignment="1">
      <alignment horizontal="left" wrapText="1"/>
    </xf>
    <xf numFmtId="0" fontId="4" fillId="4" borderId="29" xfId="0" applyFont="1" applyFill="1" applyBorder="1" applyAlignment="1">
      <alignment horizontal="left" wrapText="1"/>
    </xf>
    <xf numFmtId="0" fontId="4" fillId="4" borderId="30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wrapText="1"/>
    </xf>
    <xf numFmtId="0" fontId="20" fillId="0" borderId="13" xfId="0" applyFont="1" applyBorder="1" applyAlignment="1">
      <alignment horizontal="left" wrapText="1"/>
    </xf>
    <xf numFmtId="0" fontId="20" fillId="0" borderId="14" xfId="0" applyFont="1" applyBorder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9" fillId="0" borderId="13" xfId="0" applyFont="1" applyBorder="1" applyAlignment="1">
      <alignment horizontal="left" wrapText="1"/>
    </xf>
    <xf numFmtId="0" fontId="19" fillId="0" borderId="14" xfId="0" applyFont="1" applyBorder="1" applyAlignment="1">
      <alignment horizontal="left" wrapText="1"/>
    </xf>
    <xf numFmtId="0" fontId="25" fillId="2" borderId="1" xfId="0" applyFont="1" applyFill="1" applyBorder="1" applyAlignment="1">
      <alignment horizontal="left" wrapText="1"/>
    </xf>
    <xf numFmtId="0" fontId="25" fillId="2" borderId="13" xfId="0" applyFont="1" applyFill="1" applyBorder="1" applyAlignment="1">
      <alignment horizontal="left" wrapText="1"/>
    </xf>
    <xf numFmtId="0" fontId="25" fillId="2" borderId="14" xfId="0" applyFont="1" applyFill="1" applyBorder="1" applyAlignment="1">
      <alignment horizontal="left" wrapText="1"/>
    </xf>
    <xf numFmtId="0" fontId="25" fillId="2" borderId="2" xfId="0" applyFont="1" applyFill="1" applyBorder="1" applyAlignment="1">
      <alignment horizontal="left" wrapText="1"/>
    </xf>
    <xf numFmtId="0" fontId="25" fillId="2" borderId="3" xfId="0" applyFont="1" applyFill="1" applyBorder="1" applyAlignment="1">
      <alignment horizontal="left" wrapText="1"/>
    </xf>
    <xf numFmtId="0" fontId="25" fillId="2" borderId="4" xfId="0" applyFont="1" applyFill="1" applyBorder="1" applyAlignment="1">
      <alignment horizontal="left" wrapText="1"/>
    </xf>
    <xf numFmtId="0" fontId="24" fillId="7" borderId="28" xfId="0" applyFont="1" applyFill="1" applyBorder="1" applyAlignment="1">
      <alignment horizontal="left" wrapText="1"/>
    </xf>
    <xf numFmtId="0" fontId="24" fillId="7" borderId="29" xfId="0" applyFont="1" applyFill="1" applyBorder="1" applyAlignment="1">
      <alignment horizontal="left" wrapText="1"/>
    </xf>
    <xf numFmtId="0" fontId="24" fillId="7" borderId="30" xfId="0" applyFont="1" applyFill="1" applyBorder="1" applyAlignment="1">
      <alignment horizontal="left" wrapText="1"/>
    </xf>
    <xf numFmtId="0" fontId="25" fillId="0" borderId="0" xfId="0" applyFont="1" applyBorder="1" applyAlignment="1">
      <alignment horizontal="center" wrapText="1"/>
    </xf>
    <xf numFmtId="0" fontId="24" fillId="2" borderId="9" xfId="0" applyFont="1" applyFill="1" applyBorder="1" applyAlignment="1">
      <alignment horizontal="left" wrapText="1"/>
    </xf>
    <xf numFmtId="0" fontId="24" fillId="2" borderId="10" xfId="0" applyFont="1" applyFill="1" applyBorder="1" applyAlignment="1">
      <alignment horizontal="left" wrapText="1"/>
    </xf>
    <xf numFmtId="0" fontId="24" fillId="2" borderId="11" xfId="0" applyFont="1" applyFill="1" applyBorder="1" applyAlignment="1">
      <alignment horizontal="left" wrapText="1"/>
    </xf>
    <xf numFmtId="0" fontId="24" fillId="4" borderId="28" xfId="0" applyFont="1" applyFill="1" applyBorder="1" applyAlignment="1">
      <alignment horizontal="left" wrapText="1"/>
    </xf>
    <xf numFmtId="0" fontId="24" fillId="4" borderId="29" xfId="0" applyFont="1" applyFill="1" applyBorder="1" applyAlignment="1">
      <alignment horizontal="left" wrapText="1"/>
    </xf>
    <xf numFmtId="0" fontId="24" fillId="4" borderId="30" xfId="0" applyFont="1" applyFill="1" applyBorder="1" applyAlignment="1">
      <alignment horizontal="left" wrapText="1"/>
    </xf>
    <xf numFmtId="0" fontId="24" fillId="0" borderId="1" xfId="0" applyFont="1" applyBorder="1" applyAlignment="1">
      <alignment horizontal="left" wrapText="1"/>
    </xf>
    <xf numFmtId="0" fontId="24" fillId="0" borderId="13" xfId="0" applyFont="1" applyBorder="1" applyAlignment="1">
      <alignment horizontal="left" wrapText="1"/>
    </xf>
    <xf numFmtId="0" fontId="24" fillId="0" borderId="14" xfId="0" applyFont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25" fillId="0" borderId="13" xfId="0" applyFont="1" applyBorder="1" applyAlignment="1">
      <alignment horizontal="left" wrapText="1"/>
    </xf>
    <xf numFmtId="0" fontId="25" fillId="0" borderId="14" xfId="0" applyFont="1" applyBorder="1" applyAlignment="1">
      <alignment horizontal="left" wrapText="1"/>
    </xf>
    <xf numFmtId="0" fontId="24" fillId="0" borderId="1" xfId="0" applyFont="1" applyBorder="1" applyAlignment="1"/>
    <xf numFmtId="0" fontId="24" fillId="0" borderId="13" xfId="0" applyFont="1" applyBorder="1" applyAlignment="1"/>
    <xf numFmtId="0" fontId="24" fillId="0" borderId="14" xfId="0" applyFont="1" applyBorder="1" applyAlignment="1"/>
    <xf numFmtId="0" fontId="24" fillId="0" borderId="1" xfId="0" applyFont="1" applyFill="1" applyBorder="1" applyAlignment="1">
      <alignment horizontal="left" wrapText="1"/>
    </xf>
    <xf numFmtId="0" fontId="24" fillId="0" borderId="13" xfId="0" applyFont="1" applyFill="1" applyBorder="1" applyAlignment="1">
      <alignment horizontal="left" wrapText="1"/>
    </xf>
    <xf numFmtId="0" fontId="24" fillId="0" borderId="14" xfId="0" applyFont="1" applyFill="1" applyBorder="1" applyAlignment="1">
      <alignment horizontal="left" wrapText="1"/>
    </xf>
    <xf numFmtId="0" fontId="24" fillId="3" borderId="1" xfId="0" applyFont="1" applyFill="1" applyBorder="1" applyAlignment="1">
      <alignment horizontal="left" wrapText="1"/>
    </xf>
    <xf numFmtId="0" fontId="24" fillId="3" borderId="13" xfId="0" applyFont="1" applyFill="1" applyBorder="1" applyAlignment="1">
      <alignment horizontal="left" wrapText="1"/>
    </xf>
    <xf numFmtId="0" fontId="24" fillId="3" borderId="14" xfId="0" applyFont="1" applyFill="1" applyBorder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25" fillId="0" borderId="3" xfId="0" applyFont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4" fillId="0" borderId="2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24" fillId="0" borderId="4" xfId="0" applyFont="1" applyBorder="1" applyAlignment="1">
      <alignment horizontal="left" wrapText="1"/>
    </xf>
    <xf numFmtId="0" fontId="24" fillId="0" borderId="9" xfId="0" applyFont="1" applyBorder="1" applyAlignment="1">
      <alignment horizontal="left" wrapText="1"/>
    </xf>
    <xf numFmtId="0" fontId="24" fillId="0" borderId="10" xfId="0" applyFont="1" applyBorder="1" applyAlignment="1">
      <alignment horizontal="left" wrapText="1"/>
    </xf>
    <xf numFmtId="0" fontId="24" fillId="0" borderId="11" xfId="0" applyFont="1" applyBorder="1" applyAlignment="1">
      <alignment horizontal="left" wrapText="1"/>
    </xf>
    <xf numFmtId="0" fontId="23" fillId="0" borderId="0" xfId="0" applyFont="1" applyAlignment="1">
      <alignment horizont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wrapText="1"/>
    </xf>
    <xf numFmtId="0" fontId="24" fillId="5" borderId="20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wrapText="1"/>
    </xf>
    <xf numFmtId="0" fontId="28" fillId="0" borderId="13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30" fillId="0" borderId="15" xfId="0" applyFont="1" applyBorder="1" applyAlignment="1">
      <alignment horizontal="left" wrapText="1"/>
    </xf>
    <xf numFmtId="0" fontId="30" fillId="0" borderId="15" xfId="0" applyFont="1" applyBorder="1" applyAlignment="1">
      <alignment horizontal="center"/>
    </xf>
    <xf numFmtId="0" fontId="30" fillId="0" borderId="15" xfId="0" applyFont="1" applyBorder="1" applyAlignment="1">
      <alignment horizontal="center" wrapText="1"/>
    </xf>
    <xf numFmtId="0" fontId="30" fillId="4" borderId="15" xfId="0" applyFont="1" applyFill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1" fillId="0" borderId="15" xfId="0" applyFont="1" applyBorder="1" applyAlignment="1">
      <alignment horizontal="left" wrapText="1"/>
    </xf>
    <xf numFmtId="0" fontId="30" fillId="0" borderId="15" xfId="0" applyFont="1" applyBorder="1" applyAlignment="1"/>
    <xf numFmtId="0" fontId="30" fillId="0" borderId="15" xfId="0" applyFont="1" applyFill="1" applyBorder="1" applyAlignment="1">
      <alignment horizontal="left" wrapText="1"/>
    </xf>
    <xf numFmtId="0" fontId="30" fillId="7" borderId="15" xfId="0" applyFont="1" applyFill="1" applyBorder="1" applyAlignment="1">
      <alignment horizontal="left" wrapText="1"/>
    </xf>
    <xf numFmtId="0" fontId="31" fillId="2" borderId="15" xfId="0" applyFont="1" applyFill="1" applyBorder="1" applyAlignment="1">
      <alignment horizontal="left" wrapText="1"/>
    </xf>
    <xf numFmtId="0" fontId="31" fillId="0" borderId="0" xfId="0" applyFont="1" applyBorder="1" applyAlignment="1">
      <alignment horizontal="center" wrapText="1"/>
    </xf>
    <xf numFmtId="0" fontId="30" fillId="2" borderId="15" xfId="0" applyFont="1" applyFill="1" applyBorder="1" applyAlignment="1">
      <alignment horizontal="left" wrapText="1"/>
    </xf>
    <xf numFmtId="0" fontId="29" fillId="0" borderId="0" xfId="0" applyFont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1" fillId="0" borderId="15" xfId="0" applyFont="1" applyBorder="1" applyAlignment="1">
      <alignment horizontal="left"/>
    </xf>
    <xf numFmtId="0" fontId="30" fillId="0" borderId="15" xfId="0" applyFont="1" applyBorder="1" applyAlignment="1">
      <alignment horizontal="left"/>
    </xf>
    <xf numFmtId="0" fontId="30" fillId="5" borderId="15" xfId="0" applyFont="1" applyFill="1" applyBorder="1" applyAlignment="1">
      <alignment horizontal="center" wrapText="1"/>
    </xf>
    <xf numFmtId="0" fontId="30" fillId="0" borderId="15" xfId="0" applyFont="1" applyFill="1" applyBorder="1" applyAlignment="1">
      <alignment horizontal="center" wrapText="1"/>
    </xf>
    <xf numFmtId="0" fontId="30" fillId="3" borderId="15" xfId="0" applyFont="1" applyFill="1" applyBorder="1" applyAlignment="1">
      <alignment horizontal="center" wrapText="1"/>
    </xf>
    <xf numFmtId="0" fontId="30" fillId="10" borderId="15" xfId="0" applyFont="1" applyFill="1" applyBorder="1" applyAlignment="1">
      <alignment horizontal="left" wrapText="1"/>
    </xf>
    <xf numFmtId="0" fontId="36" fillId="0" borderId="0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6"/>
  <sheetViews>
    <sheetView zoomScale="25" zoomScaleNormal="25" workbookViewId="0">
      <selection activeCell="N12" sqref="N12"/>
    </sheetView>
  </sheetViews>
  <sheetFormatPr defaultRowHeight="44.25" x14ac:dyDescent="0.55000000000000004"/>
  <cols>
    <col min="1" max="1" width="23" customWidth="1"/>
    <col min="2" max="2" width="27.85546875" customWidth="1"/>
    <col min="3" max="3" width="28.28515625" customWidth="1"/>
    <col min="4" max="4" width="28.7109375" customWidth="1"/>
    <col min="5" max="5" width="29.42578125" customWidth="1"/>
    <col min="6" max="6" width="25.42578125" customWidth="1"/>
    <col min="7" max="7" width="27.5703125" customWidth="1"/>
    <col min="8" max="8" width="56.7109375" customWidth="1"/>
    <col min="9" max="9" width="62.28515625" style="69" customWidth="1"/>
    <col min="10" max="10" width="66.85546875" style="69" customWidth="1"/>
    <col min="11" max="11" width="57.85546875" style="70" customWidth="1"/>
    <col min="12" max="12" width="59.7109375" style="69" customWidth="1"/>
    <col min="13" max="13" width="69.28515625" style="69" customWidth="1"/>
    <col min="14" max="14" width="37.140625" style="1" customWidth="1"/>
  </cols>
  <sheetData>
    <row r="2" spans="1:15" ht="60" x14ac:dyDescent="0.8">
      <c r="A2" s="326" t="s">
        <v>51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</row>
    <row r="3" spans="1:15" ht="60" x14ac:dyDescent="0.8">
      <c r="A3" s="326" t="s">
        <v>89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</row>
    <row r="4" spans="1:15" ht="45" x14ac:dyDescent="0.6">
      <c r="A4" s="1"/>
      <c r="B4" s="1"/>
      <c r="C4" s="1"/>
      <c r="D4" s="1"/>
      <c r="E4" s="24"/>
      <c r="F4" s="24"/>
      <c r="G4" s="24"/>
      <c r="H4" s="24"/>
      <c r="I4" s="60"/>
      <c r="J4" s="60"/>
      <c r="K4" s="61"/>
      <c r="L4" s="60"/>
      <c r="M4" s="60"/>
    </row>
    <row r="5" spans="1:15" ht="36" customHeight="1" x14ac:dyDescent="0.55000000000000004">
      <c r="A5" s="1"/>
      <c r="B5" s="1"/>
      <c r="C5" s="1"/>
      <c r="D5" s="1"/>
      <c r="E5" s="1"/>
      <c r="F5" s="1"/>
      <c r="G5" s="1"/>
      <c r="H5" s="1"/>
      <c r="I5" s="62"/>
      <c r="J5" s="62"/>
      <c r="K5" s="63"/>
      <c r="L5" s="62"/>
      <c r="M5" s="62"/>
    </row>
    <row r="6" spans="1:15" ht="19.5" customHeight="1" x14ac:dyDescent="0.6">
      <c r="A6" s="3"/>
      <c r="B6" s="4"/>
      <c r="C6" s="5"/>
      <c r="D6" s="5"/>
      <c r="E6" s="5"/>
      <c r="F6" s="5"/>
      <c r="G6" s="6"/>
      <c r="H6" s="327" t="s">
        <v>53</v>
      </c>
      <c r="I6" s="330" t="s">
        <v>52</v>
      </c>
      <c r="J6" s="64"/>
      <c r="K6" s="25"/>
      <c r="L6" s="333" t="s">
        <v>85</v>
      </c>
      <c r="M6" s="72"/>
    </row>
    <row r="7" spans="1:15" ht="17.25" customHeight="1" x14ac:dyDescent="0.6">
      <c r="A7" s="7"/>
      <c r="B7" s="8"/>
      <c r="C7" s="27"/>
      <c r="D7" s="27"/>
      <c r="E7" s="27"/>
      <c r="F7" s="27"/>
      <c r="G7" s="9"/>
      <c r="H7" s="328"/>
      <c r="I7" s="331"/>
      <c r="J7" s="336" t="s">
        <v>86</v>
      </c>
      <c r="K7" s="338" t="s">
        <v>82</v>
      </c>
      <c r="L7" s="334"/>
      <c r="M7" s="73"/>
    </row>
    <row r="8" spans="1:15" ht="21.75" customHeight="1" x14ac:dyDescent="0.6">
      <c r="A8" s="7"/>
      <c r="B8" s="8"/>
      <c r="C8" s="27"/>
      <c r="D8" s="27"/>
      <c r="E8" s="28"/>
      <c r="F8" s="27"/>
      <c r="G8" s="9"/>
      <c r="H8" s="328"/>
      <c r="I8" s="331"/>
      <c r="J8" s="336"/>
      <c r="K8" s="338"/>
      <c r="L8" s="334"/>
      <c r="M8" s="73"/>
    </row>
    <row r="9" spans="1:15" ht="229.5" customHeight="1" x14ac:dyDescent="0.6">
      <c r="A9" s="10" t="s">
        <v>55</v>
      </c>
      <c r="B9" s="11"/>
      <c r="C9" s="12"/>
      <c r="D9" s="12"/>
      <c r="E9" s="26" t="s">
        <v>0</v>
      </c>
      <c r="F9" s="12"/>
      <c r="G9" s="13"/>
      <c r="H9" s="329"/>
      <c r="I9" s="332"/>
      <c r="J9" s="337"/>
      <c r="K9" s="339"/>
      <c r="L9" s="335"/>
      <c r="M9" s="74" t="s">
        <v>54</v>
      </c>
    </row>
    <row r="10" spans="1:15" ht="60" x14ac:dyDescent="0.8">
      <c r="A10" s="46" t="s">
        <v>8</v>
      </c>
      <c r="B10" s="340" t="s">
        <v>1</v>
      </c>
      <c r="C10" s="341"/>
      <c r="D10" s="341"/>
      <c r="E10" s="341"/>
      <c r="F10" s="341"/>
      <c r="G10" s="342"/>
      <c r="H10" s="47">
        <f>H12+H14+H19+H20</f>
        <v>110342.2</v>
      </c>
      <c r="I10" s="47">
        <f>I12+I14+I19+I20</f>
        <v>111118.63799999999</v>
      </c>
      <c r="J10" s="50">
        <f>J12+J14+J19+J20</f>
        <v>91317.385110000003</v>
      </c>
      <c r="K10" s="47">
        <f>K12+K14+K19+K20</f>
        <v>95372.189150000006</v>
      </c>
      <c r="L10" s="45">
        <f>L12+L14+L19+L20</f>
        <v>111139.29233</v>
      </c>
      <c r="M10" s="45">
        <f>L10-H10</f>
        <v>797.09232999999949</v>
      </c>
    </row>
    <row r="11" spans="1:15" ht="45" x14ac:dyDescent="0.6">
      <c r="A11" s="2"/>
      <c r="B11" s="14" t="s">
        <v>48</v>
      </c>
      <c r="C11" s="15"/>
      <c r="D11" s="15"/>
      <c r="E11" s="15"/>
      <c r="F11" s="15"/>
      <c r="G11" s="16"/>
      <c r="H11" s="35"/>
      <c r="I11" s="35"/>
      <c r="J11" s="51"/>
      <c r="K11" s="35"/>
      <c r="L11" s="35"/>
      <c r="M11" s="36"/>
    </row>
    <row r="12" spans="1:15" ht="70.5" customHeight="1" x14ac:dyDescent="0.6">
      <c r="A12" s="17" t="s">
        <v>18</v>
      </c>
      <c r="B12" s="307" t="s">
        <v>22</v>
      </c>
      <c r="C12" s="308"/>
      <c r="D12" s="308"/>
      <c r="E12" s="308"/>
      <c r="F12" s="308"/>
      <c r="G12" s="309"/>
      <c r="H12" s="35">
        <v>100072.7</v>
      </c>
      <c r="I12" s="35">
        <v>100620.038</v>
      </c>
      <c r="J12" s="51">
        <v>82582.970939999999</v>
      </c>
      <c r="K12" s="35">
        <v>86234.4</v>
      </c>
      <c r="L12" s="35">
        <f>I12</f>
        <v>100620.038</v>
      </c>
      <c r="M12" s="35">
        <f t="shared" ref="M12:M21" si="0">L12-H12</f>
        <v>547.33800000000338</v>
      </c>
      <c r="N12" s="1" t="s">
        <v>87</v>
      </c>
      <c r="O12" s="32"/>
    </row>
    <row r="13" spans="1:15" ht="93.75" customHeight="1" x14ac:dyDescent="0.6">
      <c r="A13" s="17"/>
      <c r="B13" s="343" t="s">
        <v>70</v>
      </c>
      <c r="C13" s="344"/>
      <c r="D13" s="344"/>
      <c r="E13" s="344"/>
      <c r="F13" s="344"/>
      <c r="G13" s="345"/>
      <c r="H13" s="37">
        <v>1066.9000000000001</v>
      </c>
      <c r="I13" s="37">
        <v>1066.9000000000001</v>
      </c>
      <c r="J13" s="52">
        <v>1586.6780000000001</v>
      </c>
      <c r="K13" s="37">
        <v>1586.6780000000001</v>
      </c>
      <c r="L13" s="37">
        <v>1586.6780000000001</v>
      </c>
      <c r="M13" s="38">
        <f t="shared" si="0"/>
        <v>519.77800000000002</v>
      </c>
    </row>
    <row r="14" spans="1:15" ht="81.75" customHeight="1" x14ac:dyDescent="0.6">
      <c r="A14" s="23" t="s">
        <v>19</v>
      </c>
      <c r="B14" s="307" t="s">
        <v>23</v>
      </c>
      <c r="C14" s="308"/>
      <c r="D14" s="308"/>
      <c r="E14" s="308"/>
      <c r="F14" s="308"/>
      <c r="G14" s="309"/>
      <c r="H14" s="35">
        <f>H16+H17+H15</f>
        <v>7696.2</v>
      </c>
      <c r="I14" s="35">
        <f>I15+I16+I17</f>
        <v>7696.2</v>
      </c>
      <c r="J14" s="51">
        <f>J16+J17+J15</f>
        <v>6451.1615499999989</v>
      </c>
      <c r="K14" s="35">
        <f>K16+K17+K15</f>
        <v>6652.2189299999991</v>
      </c>
      <c r="L14" s="35">
        <f>L16+L17+L15</f>
        <v>7716.8541099999993</v>
      </c>
      <c r="M14" s="35">
        <f t="shared" si="0"/>
        <v>20.654109999999491</v>
      </c>
    </row>
    <row r="15" spans="1:15" ht="162" customHeight="1" x14ac:dyDescent="0.55000000000000004">
      <c r="A15" s="17" t="s">
        <v>24</v>
      </c>
      <c r="B15" s="310" t="s">
        <v>81</v>
      </c>
      <c r="C15" s="311"/>
      <c r="D15" s="311"/>
      <c r="E15" s="311"/>
      <c r="F15" s="311"/>
      <c r="G15" s="312"/>
      <c r="H15" s="38">
        <v>617.5</v>
      </c>
      <c r="I15" s="38">
        <v>617.5</v>
      </c>
      <c r="J15" s="53">
        <v>333.77481999999998</v>
      </c>
      <c r="K15" s="38">
        <f>J15</f>
        <v>333.77481999999998</v>
      </c>
      <c r="L15" s="38">
        <f>I15</f>
        <v>617.5</v>
      </c>
      <c r="M15" s="38">
        <f t="shared" si="0"/>
        <v>0</v>
      </c>
    </row>
    <row r="16" spans="1:15" ht="56.25" customHeight="1" x14ac:dyDescent="0.55000000000000004">
      <c r="A16" s="2" t="s">
        <v>25</v>
      </c>
      <c r="B16" s="18" t="s">
        <v>3</v>
      </c>
      <c r="C16" s="19"/>
      <c r="D16" s="19"/>
      <c r="E16" s="19"/>
      <c r="F16" s="21"/>
      <c r="G16" s="20"/>
      <c r="H16" s="38">
        <v>7038.9</v>
      </c>
      <c r="I16" s="38">
        <v>7038.9</v>
      </c>
      <c r="J16" s="53">
        <v>6056.9326199999996</v>
      </c>
      <c r="K16" s="38">
        <v>6257.99</v>
      </c>
      <c r="L16" s="38">
        <f>I16</f>
        <v>7038.9</v>
      </c>
      <c r="M16" s="38">
        <f t="shared" si="0"/>
        <v>0</v>
      </c>
      <c r="N16" s="1" t="s">
        <v>87</v>
      </c>
      <c r="O16" s="32"/>
    </row>
    <row r="17" spans="1:19" ht="50.25" customHeight="1" x14ac:dyDescent="0.55000000000000004">
      <c r="A17" s="2" t="s">
        <v>71</v>
      </c>
      <c r="B17" s="2" t="s">
        <v>5</v>
      </c>
      <c r="C17" s="21"/>
      <c r="D17" s="21"/>
      <c r="E17" s="21"/>
      <c r="F17" s="31"/>
      <c r="G17" s="22"/>
      <c r="H17" s="39">
        <v>39.799999999999997</v>
      </c>
      <c r="I17" s="39">
        <v>39.799999999999997</v>
      </c>
      <c r="J17" s="53">
        <v>60.45411</v>
      </c>
      <c r="K17" s="38">
        <f>J17</f>
        <v>60.45411</v>
      </c>
      <c r="L17" s="40">
        <f>J17</f>
        <v>60.45411</v>
      </c>
      <c r="M17" s="38">
        <f t="shared" si="0"/>
        <v>20.654110000000003</v>
      </c>
    </row>
    <row r="18" spans="1:19" ht="60" customHeight="1" x14ac:dyDescent="0.6">
      <c r="A18" s="2" t="s">
        <v>26</v>
      </c>
      <c r="B18" s="2" t="s">
        <v>4</v>
      </c>
      <c r="C18" s="21"/>
      <c r="D18" s="21"/>
      <c r="E18" s="21"/>
      <c r="F18" s="21"/>
      <c r="G18" s="22"/>
      <c r="H18" s="39">
        <v>0</v>
      </c>
      <c r="I18" s="39">
        <v>0</v>
      </c>
      <c r="J18" s="53">
        <v>0</v>
      </c>
      <c r="K18" s="38">
        <v>0</v>
      </c>
      <c r="L18" s="38">
        <v>0</v>
      </c>
      <c r="M18" s="35">
        <f t="shared" si="0"/>
        <v>0</v>
      </c>
    </row>
    <row r="19" spans="1:19" ht="66" customHeight="1" x14ac:dyDescent="0.6">
      <c r="A19" s="14" t="s">
        <v>20</v>
      </c>
      <c r="B19" s="323" t="s">
        <v>42</v>
      </c>
      <c r="C19" s="324"/>
      <c r="D19" s="324"/>
      <c r="E19" s="324"/>
      <c r="F19" s="324"/>
      <c r="G19" s="325"/>
      <c r="H19" s="35">
        <v>2573.3000000000002</v>
      </c>
      <c r="I19" s="35">
        <v>2802.4</v>
      </c>
      <c r="J19" s="51">
        <v>2283.2523999999999</v>
      </c>
      <c r="K19" s="35">
        <v>2485.5700000000002</v>
      </c>
      <c r="L19" s="35">
        <f>I19</f>
        <v>2802.4</v>
      </c>
      <c r="M19" s="35">
        <f t="shared" si="0"/>
        <v>229.09999999999991</v>
      </c>
    </row>
    <row r="20" spans="1:19" ht="105" customHeight="1" x14ac:dyDescent="0.6">
      <c r="A20" s="14" t="s">
        <v>21</v>
      </c>
      <c r="B20" s="307" t="s">
        <v>41</v>
      </c>
      <c r="C20" s="308"/>
      <c r="D20" s="308"/>
      <c r="E20" s="308"/>
      <c r="F20" s="308"/>
      <c r="G20" s="309"/>
      <c r="H20" s="35">
        <v>0</v>
      </c>
      <c r="I20" s="35">
        <v>0</v>
      </c>
      <c r="J20" s="51">
        <v>2.2000000000000001E-4</v>
      </c>
      <c r="K20" s="35">
        <f>J20</f>
        <v>2.2000000000000001E-4</v>
      </c>
      <c r="L20" s="35">
        <f>J20</f>
        <v>2.2000000000000001E-4</v>
      </c>
      <c r="M20" s="35">
        <f t="shared" si="0"/>
        <v>2.2000000000000001E-4</v>
      </c>
      <c r="N20" s="33"/>
    </row>
    <row r="21" spans="1:19" ht="60" x14ac:dyDescent="0.8">
      <c r="A21" s="48" t="s">
        <v>7</v>
      </c>
      <c r="B21" s="296" t="s">
        <v>31</v>
      </c>
      <c r="C21" s="297"/>
      <c r="D21" s="297"/>
      <c r="E21" s="297"/>
      <c r="F21" s="297"/>
      <c r="G21" s="298"/>
      <c r="H21" s="45">
        <f>H23+H28+H33+H37+H38+H39+H29</f>
        <v>24747.65</v>
      </c>
      <c r="I21" s="45">
        <f>I23+I28+I33+I37+I38+I39+I29</f>
        <v>27677.701000000001</v>
      </c>
      <c r="J21" s="54">
        <f>J23+J28+J33+J37+J38+J39+J29</f>
        <v>23247.959729999999</v>
      </c>
      <c r="K21" s="45">
        <f>K23+K28+K33+K37+K38+K39+K29</f>
        <v>24196.399079999999</v>
      </c>
      <c r="L21" s="45">
        <f>L23+L28+L33+L37+L38+L39+L29</f>
        <v>27632.1754</v>
      </c>
      <c r="M21" s="45">
        <f t="shared" si="0"/>
        <v>2884.5253999999986</v>
      </c>
    </row>
    <row r="22" spans="1:19" ht="45" x14ac:dyDescent="0.6">
      <c r="A22" s="2"/>
      <c r="B22" s="14" t="s">
        <v>2</v>
      </c>
      <c r="C22" s="15"/>
      <c r="D22" s="15"/>
      <c r="E22" s="15"/>
      <c r="F22" s="15"/>
      <c r="G22" s="16"/>
      <c r="H22" s="35"/>
      <c r="I22" s="65"/>
      <c r="J22" s="51"/>
      <c r="K22" s="35"/>
      <c r="L22" s="35"/>
      <c r="M22" s="35"/>
    </row>
    <row r="23" spans="1:19" ht="45" x14ac:dyDescent="0.6">
      <c r="A23" s="14" t="s">
        <v>9</v>
      </c>
      <c r="B23" s="307" t="s">
        <v>17</v>
      </c>
      <c r="C23" s="308"/>
      <c r="D23" s="308"/>
      <c r="E23" s="308"/>
      <c r="F23" s="308"/>
      <c r="G23" s="309"/>
      <c r="H23" s="35">
        <f>H24+H25+H27+H26</f>
        <v>8678.75</v>
      </c>
      <c r="I23" s="35">
        <f>I24+I25+I27+I26</f>
        <v>8678.75</v>
      </c>
      <c r="J23" s="51">
        <f>J24+J25+J27+J26</f>
        <v>6656.8187800000005</v>
      </c>
      <c r="K23" s="35">
        <f>K24+K25+K27+K26</f>
        <v>6656.8187800000005</v>
      </c>
      <c r="L23" s="35">
        <f>L24+L25+L27+L26</f>
        <v>8146.6100000000006</v>
      </c>
      <c r="M23" s="35">
        <f t="shared" ref="M23:M52" si="1">L23-H23</f>
        <v>-532.13999999999942</v>
      </c>
    </row>
    <row r="24" spans="1:19" ht="71.25" customHeight="1" x14ac:dyDescent="0.55000000000000004">
      <c r="A24" s="2" t="s">
        <v>27</v>
      </c>
      <c r="B24" s="310" t="s">
        <v>49</v>
      </c>
      <c r="C24" s="311"/>
      <c r="D24" s="311"/>
      <c r="E24" s="311"/>
      <c r="F24" s="311"/>
      <c r="G24" s="312"/>
      <c r="H24" s="38">
        <v>5042.3999999999996</v>
      </c>
      <c r="I24" s="38">
        <v>5042.3999999999996</v>
      </c>
      <c r="J24" s="53">
        <v>3544.1256800000001</v>
      </c>
      <c r="K24" s="38">
        <f>J24</f>
        <v>3544.1256800000001</v>
      </c>
      <c r="L24" s="38">
        <v>4510.66</v>
      </c>
      <c r="M24" s="38">
        <f t="shared" si="1"/>
        <v>-531.73999999999978</v>
      </c>
      <c r="N24" s="1" t="s">
        <v>90</v>
      </c>
      <c r="Q24" s="1"/>
      <c r="R24" s="1" t="s">
        <v>91</v>
      </c>
      <c r="S24" s="1"/>
    </row>
    <row r="25" spans="1:19" ht="119.25" customHeight="1" x14ac:dyDescent="0.55000000000000004">
      <c r="A25" s="2" t="s">
        <v>28</v>
      </c>
      <c r="B25" s="310" t="s">
        <v>37</v>
      </c>
      <c r="C25" s="311"/>
      <c r="D25" s="311"/>
      <c r="E25" s="311"/>
      <c r="F25" s="311"/>
      <c r="G25" s="312"/>
      <c r="H25" s="38">
        <v>3635.35</v>
      </c>
      <c r="I25" s="38">
        <v>3635.35</v>
      </c>
      <c r="J25" s="53">
        <v>3112.0931</v>
      </c>
      <c r="K25" s="38">
        <f>J25</f>
        <v>3112.0931</v>
      </c>
      <c r="L25" s="38">
        <f>I25</f>
        <v>3635.35</v>
      </c>
      <c r="M25" s="38">
        <f t="shared" si="1"/>
        <v>0</v>
      </c>
      <c r="N25" s="1" t="s">
        <v>90</v>
      </c>
    </row>
    <row r="26" spans="1:19" ht="50.25" customHeight="1" x14ac:dyDescent="0.55000000000000004">
      <c r="A26" s="2" t="s">
        <v>29</v>
      </c>
      <c r="B26" s="310" t="s">
        <v>44</v>
      </c>
      <c r="C26" s="311"/>
      <c r="D26" s="311"/>
      <c r="E26" s="311"/>
      <c r="F26" s="311"/>
      <c r="G26" s="312"/>
      <c r="H26" s="38">
        <v>0</v>
      </c>
      <c r="I26" s="38">
        <v>0</v>
      </c>
      <c r="J26" s="53">
        <v>0</v>
      </c>
      <c r="K26" s="38">
        <v>0</v>
      </c>
      <c r="L26" s="38">
        <v>0</v>
      </c>
      <c r="M26" s="41">
        <f>L26-H26</f>
        <v>0</v>
      </c>
      <c r="N26" s="33"/>
    </row>
    <row r="27" spans="1:19" x14ac:dyDescent="0.55000000000000004">
      <c r="A27" s="2" t="s">
        <v>45</v>
      </c>
      <c r="B27" s="310" t="s">
        <v>46</v>
      </c>
      <c r="C27" s="311"/>
      <c r="D27" s="311"/>
      <c r="E27" s="311"/>
      <c r="F27" s="311"/>
      <c r="G27" s="312"/>
      <c r="H27" s="38">
        <v>1</v>
      </c>
      <c r="I27" s="38">
        <v>1</v>
      </c>
      <c r="J27" s="53">
        <v>0.6</v>
      </c>
      <c r="K27" s="38">
        <f>J27</f>
        <v>0.6</v>
      </c>
      <c r="L27" s="38">
        <f>J27</f>
        <v>0.6</v>
      </c>
      <c r="M27" s="41">
        <f t="shared" si="1"/>
        <v>-0.4</v>
      </c>
      <c r="N27" s="33"/>
    </row>
    <row r="28" spans="1:19" ht="111" customHeight="1" x14ac:dyDescent="0.6">
      <c r="A28" s="23" t="s">
        <v>10</v>
      </c>
      <c r="B28" s="307" t="s">
        <v>30</v>
      </c>
      <c r="C28" s="308"/>
      <c r="D28" s="308"/>
      <c r="E28" s="308"/>
      <c r="F28" s="308"/>
      <c r="G28" s="309"/>
      <c r="H28" s="35">
        <v>550</v>
      </c>
      <c r="I28" s="35">
        <v>550</v>
      </c>
      <c r="J28" s="51">
        <v>226.58526000000001</v>
      </c>
      <c r="K28" s="35">
        <f>J28</f>
        <v>226.58526000000001</v>
      </c>
      <c r="L28" s="35">
        <f>J28</f>
        <v>226.58526000000001</v>
      </c>
      <c r="M28" s="36">
        <f t="shared" si="1"/>
        <v>-323.41473999999999</v>
      </c>
      <c r="N28" s="33"/>
    </row>
    <row r="29" spans="1:19" ht="117" customHeight="1" x14ac:dyDescent="0.6">
      <c r="A29" s="23" t="s">
        <v>11</v>
      </c>
      <c r="B29" s="307" t="s">
        <v>72</v>
      </c>
      <c r="C29" s="308"/>
      <c r="D29" s="308"/>
      <c r="E29" s="308"/>
      <c r="F29" s="308"/>
      <c r="G29" s="309"/>
      <c r="H29" s="35">
        <f>H30+H31+H32</f>
        <v>13213.8</v>
      </c>
      <c r="I29" s="35">
        <f>I30+I31+I32</f>
        <v>15788.750999999998</v>
      </c>
      <c r="J29" s="51">
        <f>J30+J31+J32</f>
        <v>12942.539870000001</v>
      </c>
      <c r="K29" s="35">
        <f>K30+K31+K32</f>
        <v>13890.979220000001</v>
      </c>
      <c r="L29" s="35">
        <f>L30+L31+L32</f>
        <v>15873.905220000001</v>
      </c>
      <c r="M29" s="36">
        <f t="shared" si="1"/>
        <v>2660.1052200000013</v>
      </c>
    </row>
    <row r="30" spans="1:19" ht="61.5" customHeight="1" thickBot="1" x14ac:dyDescent="0.6">
      <c r="A30" s="17" t="s">
        <v>33</v>
      </c>
      <c r="B30" s="310" t="s">
        <v>73</v>
      </c>
      <c r="C30" s="311"/>
      <c r="D30" s="311"/>
      <c r="E30" s="311"/>
      <c r="F30" s="311"/>
      <c r="G30" s="312"/>
      <c r="H30" s="71">
        <v>13066.5</v>
      </c>
      <c r="I30" s="38">
        <v>15597.589</v>
      </c>
      <c r="J30" s="53">
        <v>12666.22365</v>
      </c>
      <c r="K30" s="38">
        <v>13614.663</v>
      </c>
      <c r="L30" s="38">
        <f>I30</f>
        <v>15597.589</v>
      </c>
      <c r="M30" s="41">
        <f t="shared" si="1"/>
        <v>2531.0889999999999</v>
      </c>
      <c r="N30" s="1" t="s">
        <v>87</v>
      </c>
    </row>
    <row r="31" spans="1:19" ht="130.5" customHeight="1" thickBot="1" x14ac:dyDescent="0.6">
      <c r="A31" s="17" t="s">
        <v>34</v>
      </c>
      <c r="B31" s="310" t="s">
        <v>76</v>
      </c>
      <c r="C31" s="311"/>
      <c r="D31" s="311"/>
      <c r="E31" s="311"/>
      <c r="F31" s="311"/>
      <c r="G31" s="322"/>
      <c r="H31" s="71">
        <v>147.30000000000001</v>
      </c>
      <c r="I31" s="38">
        <v>147.30000000000001</v>
      </c>
      <c r="J31" s="53">
        <v>182.77564000000001</v>
      </c>
      <c r="K31" s="38">
        <f>J31</f>
        <v>182.77564000000001</v>
      </c>
      <c r="L31" s="38">
        <f>J31</f>
        <v>182.77564000000001</v>
      </c>
      <c r="M31" s="41">
        <f t="shared" si="1"/>
        <v>35.475639999999999</v>
      </c>
      <c r="N31" s="1" t="s">
        <v>88</v>
      </c>
    </row>
    <row r="32" spans="1:19" ht="77.25" customHeight="1" x14ac:dyDescent="0.55000000000000004">
      <c r="A32" s="17" t="s">
        <v>77</v>
      </c>
      <c r="B32" s="310" t="s">
        <v>75</v>
      </c>
      <c r="C32" s="311"/>
      <c r="D32" s="311"/>
      <c r="E32" s="311"/>
      <c r="F32" s="311"/>
      <c r="G32" s="322"/>
      <c r="H32" s="38">
        <v>0</v>
      </c>
      <c r="I32" s="38">
        <v>43.862000000000002</v>
      </c>
      <c r="J32" s="53">
        <v>93.540580000000006</v>
      </c>
      <c r="K32" s="38">
        <f>J32</f>
        <v>93.540580000000006</v>
      </c>
      <c r="L32" s="38">
        <f>J32</f>
        <v>93.540580000000006</v>
      </c>
      <c r="M32" s="41">
        <f t="shared" si="1"/>
        <v>93.540580000000006</v>
      </c>
      <c r="N32" s="1" t="s">
        <v>88</v>
      </c>
    </row>
    <row r="33" spans="1:14" ht="45" x14ac:dyDescent="0.6">
      <c r="A33" s="14" t="s">
        <v>11</v>
      </c>
      <c r="B33" s="307" t="s">
        <v>36</v>
      </c>
      <c r="C33" s="308"/>
      <c r="D33" s="308"/>
      <c r="E33" s="308"/>
      <c r="F33" s="308"/>
      <c r="G33" s="309"/>
      <c r="H33" s="35">
        <f>H34+H35+H36</f>
        <v>1585</v>
      </c>
      <c r="I33" s="35">
        <f>I34+I35+I36</f>
        <v>1585</v>
      </c>
      <c r="J33" s="51">
        <f>J34+J35+J36</f>
        <v>2069.6341299999999</v>
      </c>
      <c r="K33" s="35">
        <f>K34+K35+K36</f>
        <v>2069.6341299999999</v>
      </c>
      <c r="L33" s="35">
        <f>L34+L35+L36</f>
        <v>2069.6341299999999</v>
      </c>
      <c r="M33" s="36">
        <f t="shared" si="1"/>
        <v>484.63412999999991</v>
      </c>
    </row>
    <row r="34" spans="1:14" ht="110.25" customHeight="1" x14ac:dyDescent="0.55000000000000004">
      <c r="A34" s="2" t="s">
        <v>33</v>
      </c>
      <c r="B34" s="310" t="s">
        <v>43</v>
      </c>
      <c r="C34" s="311"/>
      <c r="D34" s="311"/>
      <c r="E34" s="311"/>
      <c r="F34" s="311"/>
      <c r="G34" s="312"/>
      <c r="H34" s="38">
        <v>300</v>
      </c>
      <c r="I34" s="38">
        <v>300</v>
      </c>
      <c r="J34" s="53">
        <v>688.71128999999996</v>
      </c>
      <c r="K34" s="38">
        <f t="shared" ref="K34:K39" si="2">J34</f>
        <v>688.71128999999996</v>
      </c>
      <c r="L34" s="38">
        <f>J34</f>
        <v>688.71128999999996</v>
      </c>
      <c r="M34" s="41">
        <f t="shared" si="1"/>
        <v>388.71128999999996</v>
      </c>
      <c r="N34" s="1" t="s">
        <v>88</v>
      </c>
    </row>
    <row r="35" spans="1:14" ht="200.25" customHeight="1" x14ac:dyDescent="0.55000000000000004">
      <c r="A35" s="2" t="s">
        <v>34</v>
      </c>
      <c r="B35" s="310" t="s">
        <v>35</v>
      </c>
      <c r="C35" s="311"/>
      <c r="D35" s="311"/>
      <c r="E35" s="311"/>
      <c r="F35" s="311"/>
      <c r="G35" s="312"/>
      <c r="H35" s="38">
        <v>1150</v>
      </c>
      <c r="I35" s="38">
        <v>1150</v>
      </c>
      <c r="J35" s="53">
        <v>1334.1849500000001</v>
      </c>
      <c r="K35" s="38">
        <f t="shared" si="2"/>
        <v>1334.1849500000001</v>
      </c>
      <c r="L35" s="38">
        <f>J35</f>
        <v>1334.1849500000001</v>
      </c>
      <c r="M35" s="41">
        <f t="shared" si="1"/>
        <v>184.18495000000007</v>
      </c>
      <c r="N35" s="1" t="s">
        <v>88</v>
      </c>
    </row>
    <row r="36" spans="1:14" ht="137.25" customHeight="1" x14ac:dyDescent="0.55000000000000004">
      <c r="A36" s="2" t="s">
        <v>77</v>
      </c>
      <c r="B36" s="310" t="s">
        <v>79</v>
      </c>
      <c r="C36" s="311"/>
      <c r="D36" s="311"/>
      <c r="E36" s="311"/>
      <c r="F36" s="311"/>
      <c r="G36" s="312"/>
      <c r="H36" s="38">
        <v>135</v>
      </c>
      <c r="I36" s="38">
        <v>135</v>
      </c>
      <c r="J36" s="53">
        <v>46.73789</v>
      </c>
      <c r="K36" s="38">
        <f t="shared" si="2"/>
        <v>46.73789</v>
      </c>
      <c r="L36" s="38">
        <f>J36</f>
        <v>46.73789</v>
      </c>
      <c r="M36" s="41">
        <f t="shared" si="1"/>
        <v>-88.262110000000007</v>
      </c>
      <c r="N36" s="1" t="s">
        <v>88</v>
      </c>
    </row>
    <row r="37" spans="1:14" ht="45" x14ac:dyDescent="0.6">
      <c r="A37" s="14" t="s">
        <v>12</v>
      </c>
      <c r="B37" s="313" t="s">
        <v>6</v>
      </c>
      <c r="C37" s="314"/>
      <c r="D37" s="314"/>
      <c r="E37" s="314"/>
      <c r="F37" s="314"/>
      <c r="G37" s="315"/>
      <c r="H37" s="35">
        <v>720.1</v>
      </c>
      <c r="I37" s="35">
        <v>1075.2</v>
      </c>
      <c r="J37" s="51">
        <v>1298.1464000000001</v>
      </c>
      <c r="K37" s="35">
        <f t="shared" si="2"/>
        <v>1298.1464000000001</v>
      </c>
      <c r="L37" s="35">
        <f>J37</f>
        <v>1298.1464000000001</v>
      </c>
      <c r="M37" s="36">
        <f t="shared" si="1"/>
        <v>578.04640000000006</v>
      </c>
    </row>
    <row r="38" spans="1:14" ht="45" x14ac:dyDescent="0.6">
      <c r="A38" s="14" t="s">
        <v>13</v>
      </c>
      <c r="B38" s="307" t="s">
        <v>16</v>
      </c>
      <c r="C38" s="308"/>
      <c r="D38" s="308"/>
      <c r="E38" s="308"/>
      <c r="F38" s="308"/>
      <c r="G38" s="309"/>
      <c r="H38" s="35">
        <v>0</v>
      </c>
      <c r="I38" s="35">
        <v>0</v>
      </c>
      <c r="J38" s="51">
        <v>17.29439</v>
      </c>
      <c r="K38" s="35">
        <f t="shared" si="2"/>
        <v>17.29439</v>
      </c>
      <c r="L38" s="35">
        <f>J38</f>
        <v>17.29439</v>
      </c>
      <c r="M38" s="36">
        <f t="shared" si="1"/>
        <v>17.29439</v>
      </c>
    </row>
    <row r="39" spans="1:14" ht="45" x14ac:dyDescent="0.6">
      <c r="A39" s="14" t="s">
        <v>14</v>
      </c>
      <c r="B39" s="316" t="s">
        <v>15</v>
      </c>
      <c r="C39" s="317"/>
      <c r="D39" s="317"/>
      <c r="E39" s="317"/>
      <c r="F39" s="317"/>
      <c r="G39" s="318"/>
      <c r="H39" s="35">
        <v>0</v>
      </c>
      <c r="I39" s="35">
        <v>0</v>
      </c>
      <c r="J39" s="51">
        <v>36.940899999999999</v>
      </c>
      <c r="K39" s="35">
        <f t="shared" si="2"/>
        <v>36.940899999999999</v>
      </c>
      <c r="L39" s="35">
        <v>0</v>
      </c>
      <c r="M39" s="36">
        <f t="shared" si="1"/>
        <v>0</v>
      </c>
      <c r="N39" s="33"/>
    </row>
    <row r="40" spans="1:14" s="32" customFormat="1" ht="45" x14ac:dyDescent="0.6">
      <c r="A40" s="78" t="s">
        <v>40</v>
      </c>
      <c r="B40" s="319" t="s">
        <v>38</v>
      </c>
      <c r="C40" s="320"/>
      <c r="D40" s="320"/>
      <c r="E40" s="320"/>
      <c r="F40" s="320"/>
      <c r="G40" s="321"/>
      <c r="H40" s="79"/>
      <c r="I40" s="79">
        <f>I41</f>
        <v>0</v>
      </c>
      <c r="J40" s="79">
        <f>J41</f>
        <v>0</v>
      </c>
      <c r="K40" s="79">
        <f>K41</f>
        <v>0</v>
      </c>
      <c r="L40" s="79"/>
      <c r="M40" s="35">
        <f t="shared" si="1"/>
        <v>0</v>
      </c>
      <c r="N40" s="80"/>
    </row>
    <row r="41" spans="1:14" ht="45" x14ac:dyDescent="0.6">
      <c r="A41" s="17" t="s">
        <v>47</v>
      </c>
      <c r="B41" s="310" t="s">
        <v>39</v>
      </c>
      <c r="C41" s="311"/>
      <c r="D41" s="311"/>
      <c r="E41" s="311"/>
      <c r="F41" s="311"/>
      <c r="G41" s="312"/>
      <c r="H41" s="42">
        <v>0</v>
      </c>
      <c r="I41" s="42"/>
      <c r="J41" s="56"/>
      <c r="K41" s="43"/>
      <c r="L41" s="42">
        <v>0</v>
      </c>
      <c r="M41" s="36">
        <f t="shared" si="1"/>
        <v>0</v>
      </c>
    </row>
    <row r="42" spans="1:14" ht="60" x14ac:dyDescent="0.8">
      <c r="A42" s="48"/>
      <c r="B42" s="296" t="s">
        <v>32</v>
      </c>
      <c r="C42" s="297"/>
      <c r="D42" s="297"/>
      <c r="E42" s="297"/>
      <c r="F42" s="297"/>
      <c r="G42" s="298"/>
      <c r="H42" s="75">
        <f>H10+H21+H40</f>
        <v>135089.85</v>
      </c>
      <c r="I42" s="45">
        <f>I10+I21+I40</f>
        <v>138796.33899999998</v>
      </c>
      <c r="J42" s="54">
        <f>J10+J21+J40</f>
        <v>114565.34484000001</v>
      </c>
      <c r="K42" s="45">
        <f>K10+K21+K40</f>
        <v>119568.58823000001</v>
      </c>
      <c r="L42" s="45">
        <f>L10+L21+L41</f>
        <v>138771.46773</v>
      </c>
      <c r="M42" s="45">
        <f t="shared" si="1"/>
        <v>3681.6177299999981</v>
      </c>
      <c r="N42" s="34"/>
    </row>
    <row r="43" spans="1:14" ht="60" x14ac:dyDescent="0.8">
      <c r="A43" s="48" t="s">
        <v>40</v>
      </c>
      <c r="B43" s="296" t="s">
        <v>56</v>
      </c>
      <c r="C43" s="297"/>
      <c r="D43" s="297"/>
      <c r="E43" s="297"/>
      <c r="F43" s="297"/>
      <c r="G43" s="298"/>
      <c r="H43" s="75">
        <f>H44+H51+H49+H50</f>
        <v>426452.98</v>
      </c>
      <c r="I43" s="75">
        <f t="shared" ref="I43" si="3">I44+I51+I49+I50</f>
        <v>454337.77600000007</v>
      </c>
      <c r="J43" s="45">
        <f>J44+J51+J49+J50</f>
        <v>396629.80631000001</v>
      </c>
      <c r="K43" s="45">
        <f t="shared" ref="K43" si="4">K44+K51+K49+K50</f>
        <v>396629.80631000001</v>
      </c>
      <c r="L43" s="45">
        <f t="shared" ref="L43" si="5">L44+L51+L49+L50</f>
        <v>454338.12610000005</v>
      </c>
      <c r="M43" s="45">
        <f t="shared" ref="M43" si="6">M44+M51+M49+M50</f>
        <v>27885.146100000075</v>
      </c>
    </row>
    <row r="44" spans="1:14" ht="105" customHeight="1" x14ac:dyDescent="0.8">
      <c r="A44" s="29" t="s">
        <v>47</v>
      </c>
      <c r="B44" s="304" t="s">
        <v>65</v>
      </c>
      <c r="C44" s="305"/>
      <c r="D44" s="305"/>
      <c r="E44" s="305"/>
      <c r="F44" s="305"/>
      <c r="G44" s="306"/>
      <c r="H44" s="76">
        <f>SUM(H45:H48)</f>
        <v>426452.98</v>
      </c>
      <c r="I44" s="44">
        <f>SUM(I45:I48)</f>
        <v>457507.15200000006</v>
      </c>
      <c r="J44" s="54">
        <f>SUM(J45:J48)</f>
        <v>399798.83221000002</v>
      </c>
      <c r="K44" s="44">
        <f>SUM(K45:K48)</f>
        <v>399798.83221000002</v>
      </c>
      <c r="L44" s="44">
        <f>SUM(L45:L48)</f>
        <v>457507.15200000006</v>
      </c>
      <c r="M44" s="44">
        <f t="shared" si="1"/>
        <v>31054.172000000079</v>
      </c>
    </row>
    <row r="45" spans="1:14" x14ac:dyDescent="0.55000000000000004">
      <c r="A45" s="30" t="s">
        <v>66</v>
      </c>
      <c r="B45" s="301" t="s">
        <v>57</v>
      </c>
      <c r="C45" s="302"/>
      <c r="D45" s="302"/>
      <c r="E45" s="302"/>
      <c r="F45" s="302"/>
      <c r="G45" s="303"/>
      <c r="H45" s="77">
        <v>139035.79999999999</v>
      </c>
      <c r="I45" s="38">
        <v>139172.9</v>
      </c>
      <c r="J45" s="53">
        <v>126879.2815</v>
      </c>
      <c r="K45" s="38">
        <f t="shared" ref="K45:K51" si="7">J45</f>
        <v>126879.2815</v>
      </c>
      <c r="L45" s="38">
        <f>I45</f>
        <v>139172.9</v>
      </c>
      <c r="M45" s="38">
        <f t="shared" si="1"/>
        <v>137.10000000000582</v>
      </c>
    </row>
    <row r="46" spans="1:14" x14ac:dyDescent="0.55000000000000004">
      <c r="A46" s="30" t="s">
        <v>67</v>
      </c>
      <c r="B46" s="301" t="s">
        <v>59</v>
      </c>
      <c r="C46" s="302"/>
      <c r="D46" s="302"/>
      <c r="E46" s="302"/>
      <c r="F46" s="302"/>
      <c r="G46" s="303"/>
      <c r="H46" s="77">
        <v>16755.099999999999</v>
      </c>
      <c r="I46" s="38">
        <v>36344.762000000002</v>
      </c>
      <c r="J46" s="53">
        <v>28642.624299999999</v>
      </c>
      <c r="K46" s="38">
        <f t="shared" si="7"/>
        <v>28642.624299999999</v>
      </c>
      <c r="L46" s="38">
        <f>I46</f>
        <v>36344.762000000002</v>
      </c>
      <c r="M46" s="38">
        <f>L46-H46</f>
        <v>19589.662000000004</v>
      </c>
    </row>
    <row r="47" spans="1:14" x14ac:dyDescent="0.55000000000000004">
      <c r="A47" s="30" t="s">
        <v>68</v>
      </c>
      <c r="B47" s="301" t="s">
        <v>60</v>
      </c>
      <c r="C47" s="302"/>
      <c r="D47" s="302"/>
      <c r="E47" s="302"/>
      <c r="F47" s="302"/>
      <c r="G47" s="303"/>
      <c r="H47" s="77">
        <v>265964.59999999998</v>
      </c>
      <c r="I47" s="38">
        <v>272015.92700000003</v>
      </c>
      <c r="J47" s="53">
        <v>238850.00390000001</v>
      </c>
      <c r="K47" s="38">
        <f t="shared" si="7"/>
        <v>238850.00390000001</v>
      </c>
      <c r="L47" s="38">
        <f>I47</f>
        <v>272015.92700000003</v>
      </c>
      <c r="M47" s="38">
        <f t="shared" si="1"/>
        <v>6051.3270000000484</v>
      </c>
    </row>
    <row r="48" spans="1:14" x14ac:dyDescent="0.55000000000000004">
      <c r="A48" s="30" t="s">
        <v>69</v>
      </c>
      <c r="B48" s="301" t="s">
        <v>62</v>
      </c>
      <c r="C48" s="302"/>
      <c r="D48" s="302"/>
      <c r="E48" s="302"/>
      <c r="F48" s="302"/>
      <c r="G48" s="303"/>
      <c r="H48" s="77">
        <v>4697.4799999999996</v>
      </c>
      <c r="I48" s="38">
        <v>9973.5630000000001</v>
      </c>
      <c r="J48" s="53">
        <v>5426.9225100000003</v>
      </c>
      <c r="K48" s="38">
        <f t="shared" si="7"/>
        <v>5426.9225100000003</v>
      </c>
      <c r="L48" s="38">
        <f>I48</f>
        <v>9973.5630000000001</v>
      </c>
      <c r="M48" s="38">
        <f t="shared" si="1"/>
        <v>5276.0830000000005</v>
      </c>
    </row>
    <row r="49" spans="1:14" ht="176.25" customHeight="1" x14ac:dyDescent="0.55000000000000004">
      <c r="A49" s="30" t="s">
        <v>58</v>
      </c>
      <c r="B49" s="301" t="s">
        <v>83</v>
      </c>
      <c r="C49" s="302"/>
      <c r="D49" s="302"/>
      <c r="E49" s="302"/>
      <c r="F49" s="302"/>
      <c r="G49" s="303"/>
      <c r="H49" s="77">
        <v>0</v>
      </c>
      <c r="I49" s="38">
        <v>1303.847</v>
      </c>
      <c r="J49" s="53">
        <v>1303.84727</v>
      </c>
      <c r="K49" s="38">
        <f t="shared" si="7"/>
        <v>1303.84727</v>
      </c>
      <c r="L49" s="38">
        <f>J49</f>
        <v>1303.84727</v>
      </c>
      <c r="M49" s="38">
        <f t="shared" si="1"/>
        <v>1303.84727</v>
      </c>
    </row>
    <row r="50" spans="1:14" x14ac:dyDescent="0.55000000000000004">
      <c r="A50" s="30" t="s">
        <v>61</v>
      </c>
      <c r="B50" s="301" t="s">
        <v>74</v>
      </c>
      <c r="C50" s="302"/>
      <c r="D50" s="302"/>
      <c r="E50" s="302"/>
      <c r="F50" s="302"/>
      <c r="G50" s="303"/>
      <c r="H50" s="77">
        <v>0</v>
      </c>
      <c r="I50" s="38">
        <v>307</v>
      </c>
      <c r="J50" s="53">
        <v>307.35000000000002</v>
      </c>
      <c r="K50" s="38">
        <f t="shared" si="7"/>
        <v>307.35000000000002</v>
      </c>
      <c r="L50" s="38">
        <f>J50</f>
        <v>307.35000000000002</v>
      </c>
      <c r="M50" s="38">
        <f t="shared" si="1"/>
        <v>307.35000000000002</v>
      </c>
      <c r="N50"/>
    </row>
    <row r="51" spans="1:14" x14ac:dyDescent="0.55000000000000004">
      <c r="A51" s="30" t="s">
        <v>84</v>
      </c>
      <c r="B51" s="301" t="s">
        <v>78</v>
      </c>
      <c r="C51" s="302"/>
      <c r="D51" s="302"/>
      <c r="E51" s="302"/>
      <c r="F51" s="302"/>
      <c r="G51" s="303"/>
      <c r="H51" s="77">
        <v>0</v>
      </c>
      <c r="I51" s="38">
        <v>-4780.223</v>
      </c>
      <c r="J51" s="53">
        <v>-4780.2231700000002</v>
      </c>
      <c r="K51" s="38">
        <f t="shared" si="7"/>
        <v>-4780.2231700000002</v>
      </c>
      <c r="L51" s="38">
        <f>J51</f>
        <v>-4780.2231700000002</v>
      </c>
      <c r="M51" s="38">
        <f t="shared" si="1"/>
        <v>-4780.2231700000002</v>
      </c>
      <c r="N51"/>
    </row>
    <row r="52" spans="1:14" ht="60" x14ac:dyDescent="0.8">
      <c r="A52" s="48" t="s">
        <v>63</v>
      </c>
      <c r="B52" s="296" t="s">
        <v>64</v>
      </c>
      <c r="C52" s="297"/>
      <c r="D52" s="297"/>
      <c r="E52" s="297"/>
      <c r="F52" s="297"/>
      <c r="G52" s="298"/>
      <c r="H52" s="75">
        <f>H42+H43</f>
        <v>561542.82999999996</v>
      </c>
      <c r="I52" s="49">
        <f>I42+I43</f>
        <v>593134.11499999999</v>
      </c>
      <c r="J52" s="57">
        <f>J42+J43</f>
        <v>511195.15115000005</v>
      </c>
      <c r="K52" s="49">
        <f>K42+K43</f>
        <v>516198.39454000001</v>
      </c>
      <c r="L52" s="49">
        <f>L42+L43</f>
        <v>593109.59383000003</v>
      </c>
      <c r="M52" s="45">
        <f t="shared" si="1"/>
        <v>31566.763830000069</v>
      </c>
      <c r="N52"/>
    </row>
    <row r="53" spans="1:14" ht="45" x14ac:dyDescent="0.6">
      <c r="A53" s="58"/>
      <c r="B53" s="299"/>
      <c r="C53" s="299"/>
      <c r="D53" s="299"/>
      <c r="E53" s="299"/>
      <c r="F53" s="299"/>
      <c r="G53" s="299"/>
      <c r="H53" s="299"/>
      <c r="I53" s="299"/>
      <c r="J53" s="299"/>
      <c r="K53" s="299"/>
      <c r="L53" s="299"/>
      <c r="M53" s="66"/>
      <c r="N53"/>
    </row>
    <row r="54" spans="1:14" ht="45" x14ac:dyDescent="0.6">
      <c r="A54" s="58"/>
      <c r="B54" s="58"/>
      <c r="C54" s="58"/>
      <c r="D54" s="58"/>
      <c r="E54" s="58"/>
      <c r="F54" s="58"/>
      <c r="G54" s="58"/>
      <c r="H54" s="58"/>
      <c r="I54" s="67"/>
      <c r="J54" s="67"/>
      <c r="K54" s="67"/>
      <c r="L54" s="67"/>
      <c r="M54" s="66"/>
      <c r="N54"/>
    </row>
    <row r="55" spans="1:14" x14ac:dyDescent="0.55000000000000004">
      <c r="A55" s="300" t="s">
        <v>50</v>
      </c>
      <c r="B55" s="300"/>
      <c r="C55" s="300"/>
      <c r="D55" s="300"/>
      <c r="E55" s="300"/>
      <c r="F55" s="1"/>
      <c r="G55" s="1"/>
      <c r="H55" s="1" t="s">
        <v>80</v>
      </c>
      <c r="I55" s="62"/>
      <c r="J55" s="62"/>
      <c r="K55" s="63"/>
      <c r="L55" s="62"/>
      <c r="M55" s="68"/>
      <c r="N55"/>
    </row>
    <row r="56" spans="1:14" x14ac:dyDescent="0.55000000000000004">
      <c r="A56" s="59"/>
      <c r="B56" s="59"/>
      <c r="C56" s="59"/>
      <c r="D56" s="59"/>
      <c r="E56" s="59"/>
      <c r="N56"/>
    </row>
  </sheetData>
  <mergeCells count="47">
    <mergeCell ref="B19:G19"/>
    <mergeCell ref="A2:M2"/>
    <mergeCell ref="A3:M3"/>
    <mergeCell ref="H6:H9"/>
    <mergeCell ref="I6:I9"/>
    <mergeCell ref="L6:L9"/>
    <mergeCell ref="J7:J9"/>
    <mergeCell ref="K7:K9"/>
    <mergeCell ref="B10:G10"/>
    <mergeCell ref="B12:G12"/>
    <mergeCell ref="B13:G13"/>
    <mergeCell ref="B14:G14"/>
    <mergeCell ref="B15:G15"/>
    <mergeCell ref="B32:G32"/>
    <mergeCell ref="B20:G20"/>
    <mergeCell ref="B21:G21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44:G44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52:G52"/>
    <mergeCell ref="B53:L53"/>
    <mergeCell ref="A55:E55"/>
    <mergeCell ref="B45:G45"/>
    <mergeCell ref="B46:G46"/>
    <mergeCell ref="B47:G47"/>
    <mergeCell ref="B48:G48"/>
    <mergeCell ref="B50:G50"/>
    <mergeCell ref="B51:G51"/>
    <mergeCell ref="B49:G49"/>
  </mergeCells>
  <pageMargins left="0.70866141732283472" right="0.70866141732283472" top="0.74803149606299213" bottom="0.74803149606299213" header="0.31496062992125984" footer="0.31496062992125984"/>
  <pageSetup paperSize="9" scale="1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8"/>
  <sheetViews>
    <sheetView topLeftCell="A4" zoomScale="28" zoomScaleNormal="28" workbookViewId="0">
      <selection activeCell="L13" sqref="L13"/>
    </sheetView>
  </sheetViews>
  <sheetFormatPr defaultRowHeight="44.25" x14ac:dyDescent="0.55000000000000004"/>
  <cols>
    <col min="1" max="1" width="29.140625" customWidth="1"/>
    <col min="2" max="2" width="27.85546875" customWidth="1"/>
    <col min="3" max="3" width="28.28515625" customWidth="1"/>
    <col min="4" max="4" width="28.7109375" customWidth="1"/>
    <col min="5" max="5" width="29.42578125" customWidth="1"/>
    <col min="6" max="6" width="25.42578125" customWidth="1"/>
    <col min="7" max="7" width="27.5703125" customWidth="1"/>
    <col min="8" max="8" width="56.7109375" style="99" customWidth="1"/>
    <col min="9" max="9" width="62.28515625" style="100" customWidth="1"/>
    <col min="10" max="10" width="66.85546875" style="100" customWidth="1"/>
    <col min="11" max="11" width="57.85546875" style="101" customWidth="1"/>
    <col min="12" max="12" width="59.7109375" style="100" customWidth="1"/>
    <col min="13" max="13" width="69.28515625" style="100" customWidth="1"/>
    <col min="14" max="14" width="37.140625" style="1" customWidth="1"/>
  </cols>
  <sheetData>
    <row r="2" spans="1:15" ht="60" x14ac:dyDescent="0.8">
      <c r="A2" s="326" t="s">
        <v>51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114"/>
      <c r="O2" s="114"/>
    </row>
    <row r="3" spans="1:15" ht="60" x14ac:dyDescent="0.8">
      <c r="A3" s="326" t="s">
        <v>97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114"/>
      <c r="O3" s="114"/>
    </row>
    <row r="4" spans="1:15" ht="45" x14ac:dyDescent="0.6">
      <c r="A4" s="115"/>
      <c r="B4" s="115"/>
      <c r="C4" s="115"/>
      <c r="D4" s="115"/>
      <c r="E4" s="127"/>
      <c r="F4" s="127"/>
      <c r="G4" s="127"/>
      <c r="H4" s="163"/>
      <c r="I4" s="164"/>
      <c r="J4" s="164"/>
      <c r="K4" s="165"/>
      <c r="L4" s="164"/>
      <c r="M4" s="164"/>
      <c r="N4" s="114"/>
      <c r="O4" s="114"/>
    </row>
    <row r="5" spans="1:15" ht="45" thickBot="1" x14ac:dyDescent="0.6">
      <c r="A5" s="115"/>
      <c r="B5" s="115"/>
      <c r="C5" s="115"/>
      <c r="D5" s="115"/>
      <c r="E5" s="115"/>
      <c r="F5" s="115"/>
      <c r="G5" s="115"/>
      <c r="H5" s="166"/>
      <c r="I5" s="167"/>
      <c r="J5" s="167"/>
      <c r="K5" s="168"/>
      <c r="L5" s="167"/>
      <c r="M5" s="167"/>
      <c r="N5" s="114"/>
      <c r="O5" s="114"/>
    </row>
    <row r="6" spans="1:15" ht="45" customHeight="1" x14ac:dyDescent="0.2">
      <c r="A6" s="358" t="s">
        <v>55</v>
      </c>
      <c r="B6" s="361" t="s">
        <v>0</v>
      </c>
      <c r="C6" s="362"/>
      <c r="D6" s="362"/>
      <c r="E6" s="362"/>
      <c r="F6" s="362"/>
      <c r="G6" s="363"/>
      <c r="H6" s="349" t="s">
        <v>53</v>
      </c>
      <c r="I6" s="349" t="s">
        <v>52</v>
      </c>
      <c r="J6" s="355" t="s">
        <v>96</v>
      </c>
      <c r="K6" s="352" t="s">
        <v>82</v>
      </c>
      <c r="L6" s="385" t="s">
        <v>95</v>
      </c>
      <c r="M6" s="349" t="s">
        <v>54</v>
      </c>
      <c r="N6" s="114"/>
      <c r="O6" s="114"/>
    </row>
    <row r="7" spans="1:15" ht="45" customHeight="1" x14ac:dyDescent="0.2">
      <c r="A7" s="359"/>
      <c r="B7" s="364"/>
      <c r="C7" s="365"/>
      <c r="D7" s="365"/>
      <c r="E7" s="365"/>
      <c r="F7" s="365"/>
      <c r="G7" s="366"/>
      <c r="H7" s="350"/>
      <c r="I7" s="350"/>
      <c r="J7" s="356"/>
      <c r="K7" s="353"/>
      <c r="L7" s="386"/>
      <c r="M7" s="350"/>
      <c r="N7" s="114"/>
      <c r="O7" s="114"/>
    </row>
    <row r="8" spans="1:15" ht="44.25" customHeight="1" x14ac:dyDescent="0.2">
      <c r="A8" s="359"/>
      <c r="B8" s="364"/>
      <c r="C8" s="365"/>
      <c r="D8" s="365"/>
      <c r="E8" s="365"/>
      <c r="F8" s="365"/>
      <c r="G8" s="366"/>
      <c r="H8" s="350"/>
      <c r="I8" s="350"/>
      <c r="J8" s="356"/>
      <c r="K8" s="353"/>
      <c r="L8" s="386"/>
      <c r="M8" s="350"/>
      <c r="N8" s="114"/>
      <c r="O8" s="114"/>
    </row>
    <row r="9" spans="1:15" ht="39" customHeight="1" thickBot="1" x14ac:dyDescent="0.25">
      <c r="A9" s="360"/>
      <c r="B9" s="367"/>
      <c r="C9" s="368"/>
      <c r="D9" s="368"/>
      <c r="E9" s="368"/>
      <c r="F9" s="368"/>
      <c r="G9" s="369"/>
      <c r="H9" s="351"/>
      <c r="I9" s="351"/>
      <c r="J9" s="357"/>
      <c r="K9" s="354"/>
      <c r="L9" s="387"/>
      <c r="M9" s="351"/>
      <c r="N9" s="114"/>
      <c r="O9" s="114"/>
    </row>
    <row r="10" spans="1:15" ht="86.25" customHeight="1" thickBot="1" x14ac:dyDescent="0.65">
      <c r="A10" s="155" t="s">
        <v>8</v>
      </c>
      <c r="B10" s="379" t="s">
        <v>1</v>
      </c>
      <c r="C10" s="380"/>
      <c r="D10" s="380"/>
      <c r="E10" s="380"/>
      <c r="F10" s="380"/>
      <c r="G10" s="381"/>
      <c r="H10" s="159">
        <v>116189.2</v>
      </c>
      <c r="I10" s="159">
        <v>118389.2</v>
      </c>
      <c r="J10" s="160">
        <v>91305.695900000006</v>
      </c>
      <c r="K10" s="159">
        <v>99917.403250000003</v>
      </c>
      <c r="L10" s="159">
        <v>118411.32421999999</v>
      </c>
      <c r="M10" s="159">
        <v>2222.1242199999979</v>
      </c>
      <c r="N10" s="114"/>
      <c r="O10" s="114"/>
    </row>
    <row r="11" spans="1:15" ht="45" x14ac:dyDescent="0.6">
      <c r="A11" s="154"/>
      <c r="B11" s="118" t="s">
        <v>48</v>
      </c>
      <c r="C11" s="156"/>
      <c r="D11" s="156"/>
      <c r="E11" s="156"/>
      <c r="F11" s="156"/>
      <c r="G11" s="157"/>
      <c r="H11" s="158"/>
      <c r="I11" s="161"/>
      <c r="J11" s="153"/>
      <c r="K11" s="158"/>
      <c r="L11" s="158"/>
      <c r="M11" s="162"/>
      <c r="N11" s="114"/>
      <c r="O11" s="114"/>
    </row>
    <row r="12" spans="1:15" ht="84" customHeight="1" x14ac:dyDescent="0.6">
      <c r="A12" s="120" t="s">
        <v>18</v>
      </c>
      <c r="B12" s="307" t="s">
        <v>22</v>
      </c>
      <c r="C12" s="308"/>
      <c r="D12" s="308"/>
      <c r="E12" s="308"/>
      <c r="F12" s="308"/>
      <c r="G12" s="309"/>
      <c r="H12" s="132">
        <v>105821.7</v>
      </c>
      <c r="I12" s="132">
        <v>108021.7</v>
      </c>
      <c r="J12" s="141">
        <v>82623.534299999999</v>
      </c>
      <c r="K12" s="132">
        <v>90747.3</v>
      </c>
      <c r="L12" s="132">
        <v>108021.7</v>
      </c>
      <c r="M12" s="132">
        <v>2200</v>
      </c>
      <c r="N12" s="115" t="s">
        <v>87</v>
      </c>
      <c r="O12" s="129"/>
    </row>
    <row r="13" spans="1:15" ht="110.25" customHeight="1" x14ac:dyDescent="0.6">
      <c r="A13" s="120"/>
      <c r="B13" s="343" t="s">
        <v>70</v>
      </c>
      <c r="C13" s="344"/>
      <c r="D13" s="344"/>
      <c r="E13" s="344"/>
      <c r="F13" s="344"/>
      <c r="G13" s="345"/>
      <c r="H13" s="134">
        <v>2501.5</v>
      </c>
      <c r="I13" s="134">
        <v>2501.5</v>
      </c>
      <c r="J13" s="142">
        <v>1953.1445000000001</v>
      </c>
      <c r="K13" s="134">
        <v>2200.2444999999998</v>
      </c>
      <c r="L13" s="134">
        <v>2501.5</v>
      </c>
      <c r="M13" s="135">
        <v>0</v>
      </c>
      <c r="N13" s="114"/>
      <c r="O13" s="114"/>
    </row>
    <row r="14" spans="1:15" ht="45" customHeight="1" x14ac:dyDescent="0.6">
      <c r="A14" s="126" t="s">
        <v>19</v>
      </c>
      <c r="B14" s="307" t="s">
        <v>23</v>
      </c>
      <c r="C14" s="308"/>
      <c r="D14" s="308"/>
      <c r="E14" s="308"/>
      <c r="F14" s="308"/>
      <c r="G14" s="309"/>
      <c r="H14" s="132">
        <v>7895.8</v>
      </c>
      <c r="I14" s="132">
        <v>7895.8</v>
      </c>
      <c r="J14" s="141">
        <v>6557.5352899999998</v>
      </c>
      <c r="K14" s="132">
        <v>6834.5352899999998</v>
      </c>
      <c r="L14" s="132">
        <v>7917.924</v>
      </c>
      <c r="M14" s="132">
        <v>22.123999999999796</v>
      </c>
      <c r="N14" s="114"/>
      <c r="O14" s="114"/>
    </row>
    <row r="15" spans="1:15" ht="99.75" customHeight="1" x14ac:dyDescent="0.55000000000000004">
      <c r="A15" s="120" t="s">
        <v>24</v>
      </c>
      <c r="B15" s="310" t="s">
        <v>81</v>
      </c>
      <c r="C15" s="311"/>
      <c r="D15" s="311"/>
      <c r="E15" s="311"/>
      <c r="F15" s="311"/>
      <c r="G15" s="312"/>
      <c r="H15" s="135">
        <v>849</v>
      </c>
      <c r="I15" s="135">
        <v>849</v>
      </c>
      <c r="J15" s="143">
        <v>310.91199999999998</v>
      </c>
      <c r="K15" s="135">
        <v>310.91199999999998</v>
      </c>
      <c r="L15" s="135">
        <v>849</v>
      </c>
      <c r="M15" s="135">
        <v>0</v>
      </c>
      <c r="N15" s="114"/>
      <c r="O15" s="114"/>
    </row>
    <row r="16" spans="1:15" ht="57" customHeight="1" x14ac:dyDescent="0.55000000000000004">
      <c r="A16" s="116" t="s">
        <v>25</v>
      </c>
      <c r="B16" s="121" t="s">
        <v>3</v>
      </c>
      <c r="C16" s="122"/>
      <c r="D16" s="122"/>
      <c r="E16" s="122"/>
      <c r="F16" s="124"/>
      <c r="G16" s="123"/>
      <c r="H16" s="135">
        <v>7002.3</v>
      </c>
      <c r="I16" s="135">
        <v>7002.3</v>
      </c>
      <c r="J16" s="143">
        <v>6179.9992899999997</v>
      </c>
      <c r="K16" s="135">
        <v>6456.9992899999997</v>
      </c>
      <c r="L16" s="135">
        <v>7002.3</v>
      </c>
      <c r="M16" s="135">
        <v>0</v>
      </c>
      <c r="N16" s="115" t="s">
        <v>87</v>
      </c>
      <c r="O16" s="129"/>
    </row>
    <row r="17" spans="1:19" ht="63" customHeight="1" x14ac:dyDescent="0.55000000000000004">
      <c r="A17" s="116" t="s">
        <v>71</v>
      </c>
      <c r="B17" s="116" t="s">
        <v>92</v>
      </c>
      <c r="C17" s="124"/>
      <c r="D17" s="124"/>
      <c r="E17" s="124"/>
      <c r="F17" s="124"/>
      <c r="G17" s="125"/>
      <c r="H17" s="136">
        <v>44.5</v>
      </c>
      <c r="I17" s="136">
        <v>44.5</v>
      </c>
      <c r="J17" s="143">
        <v>66.623999999999995</v>
      </c>
      <c r="K17" s="135">
        <v>66.623999999999995</v>
      </c>
      <c r="L17" s="137">
        <v>66.623999999999995</v>
      </c>
      <c r="M17" s="135">
        <v>22.123999999999995</v>
      </c>
      <c r="N17" s="114"/>
      <c r="O17" s="114"/>
      <c r="P17" s="114"/>
      <c r="Q17" s="114"/>
      <c r="R17" s="114"/>
      <c r="S17" s="114"/>
    </row>
    <row r="18" spans="1:19" ht="63" customHeight="1" x14ac:dyDescent="0.6">
      <c r="A18" s="116" t="s">
        <v>26</v>
      </c>
      <c r="B18" s="116" t="s">
        <v>4</v>
      </c>
      <c r="C18" s="124"/>
      <c r="D18" s="124"/>
      <c r="E18" s="124"/>
      <c r="F18" s="124"/>
      <c r="G18" s="125"/>
      <c r="H18" s="136">
        <v>0</v>
      </c>
      <c r="I18" s="136">
        <v>0</v>
      </c>
      <c r="J18" s="143">
        <v>0</v>
      </c>
      <c r="K18" s="135">
        <v>0</v>
      </c>
      <c r="L18" s="135">
        <v>0</v>
      </c>
      <c r="M18" s="132">
        <v>0</v>
      </c>
      <c r="N18" s="114"/>
      <c r="O18" s="114"/>
      <c r="P18" s="114"/>
      <c r="Q18" s="114"/>
      <c r="R18" s="114"/>
      <c r="S18" s="114"/>
    </row>
    <row r="19" spans="1:19" ht="60" customHeight="1" x14ac:dyDescent="0.6">
      <c r="A19" s="119" t="s">
        <v>20</v>
      </c>
      <c r="B19" s="323" t="s">
        <v>42</v>
      </c>
      <c r="C19" s="324"/>
      <c r="D19" s="324"/>
      <c r="E19" s="324"/>
      <c r="F19" s="324"/>
      <c r="G19" s="325"/>
      <c r="H19" s="132">
        <v>2471.6999999999998</v>
      </c>
      <c r="I19" s="132">
        <v>2471.6999999999998</v>
      </c>
      <c r="J19" s="141">
        <v>2124.6260900000002</v>
      </c>
      <c r="K19" s="132">
        <v>2335.56774</v>
      </c>
      <c r="L19" s="132">
        <v>2471.6999999999998</v>
      </c>
      <c r="M19" s="132">
        <v>0</v>
      </c>
      <c r="N19" s="114"/>
      <c r="O19" s="114"/>
      <c r="P19" s="114"/>
      <c r="Q19" s="114"/>
      <c r="R19" s="114"/>
      <c r="S19" s="114"/>
    </row>
    <row r="20" spans="1:19" ht="100.5" customHeight="1" thickBot="1" x14ac:dyDescent="0.65">
      <c r="A20" s="117" t="s">
        <v>21</v>
      </c>
      <c r="B20" s="382" t="s">
        <v>41</v>
      </c>
      <c r="C20" s="383"/>
      <c r="D20" s="383"/>
      <c r="E20" s="383"/>
      <c r="F20" s="383"/>
      <c r="G20" s="384"/>
      <c r="H20" s="151">
        <v>0</v>
      </c>
      <c r="I20" s="151">
        <v>0</v>
      </c>
      <c r="J20" s="144">
        <v>2.2000000000000001E-4</v>
      </c>
      <c r="K20" s="151">
        <v>2.2000000000000001E-4</v>
      </c>
      <c r="L20" s="151">
        <v>2.2000000000000001E-4</v>
      </c>
      <c r="M20" s="151">
        <v>2.2000000000000001E-4</v>
      </c>
      <c r="N20" s="130"/>
      <c r="O20" s="114"/>
      <c r="P20" s="114"/>
      <c r="Q20" s="114"/>
      <c r="R20" s="114"/>
      <c r="S20" s="114"/>
    </row>
    <row r="21" spans="1:19" ht="105" customHeight="1" thickBot="1" x14ac:dyDescent="0.65">
      <c r="A21" s="155" t="s">
        <v>7</v>
      </c>
      <c r="B21" s="379" t="s">
        <v>31</v>
      </c>
      <c r="C21" s="380"/>
      <c r="D21" s="380"/>
      <c r="E21" s="380"/>
      <c r="F21" s="380"/>
      <c r="G21" s="381"/>
      <c r="H21" s="159">
        <v>26141.599999999999</v>
      </c>
      <c r="I21" s="159">
        <v>26239.549070000001</v>
      </c>
      <c r="J21" s="160">
        <v>20754.502860000001</v>
      </c>
      <c r="K21" s="159">
        <v>23514.491900000001</v>
      </c>
      <c r="L21" s="159">
        <v>25011.2281</v>
      </c>
      <c r="M21" s="159">
        <v>-1130.3718999999983</v>
      </c>
      <c r="N21" s="114"/>
      <c r="O21" s="114"/>
      <c r="P21" s="114"/>
      <c r="Q21" s="114"/>
      <c r="R21" s="114"/>
      <c r="S21" s="114"/>
    </row>
    <row r="22" spans="1:19" ht="91.5" customHeight="1" x14ac:dyDescent="0.6">
      <c r="A22" s="154"/>
      <c r="B22" s="118" t="s">
        <v>2</v>
      </c>
      <c r="C22" s="156"/>
      <c r="D22" s="156"/>
      <c r="E22" s="156"/>
      <c r="F22" s="156"/>
      <c r="G22" s="157"/>
      <c r="H22" s="158"/>
      <c r="I22" s="158"/>
      <c r="J22" s="153"/>
      <c r="K22" s="158"/>
      <c r="L22" s="158"/>
      <c r="M22" s="158"/>
      <c r="N22" s="114"/>
      <c r="O22" s="114"/>
      <c r="P22" s="114"/>
      <c r="Q22" s="114"/>
      <c r="R22" s="114"/>
      <c r="S22" s="114"/>
    </row>
    <row r="23" spans="1:19" ht="45" x14ac:dyDescent="0.6">
      <c r="A23" s="119" t="s">
        <v>9</v>
      </c>
      <c r="B23" s="307" t="s">
        <v>17</v>
      </c>
      <c r="C23" s="308"/>
      <c r="D23" s="308"/>
      <c r="E23" s="308"/>
      <c r="F23" s="308"/>
      <c r="G23" s="309"/>
      <c r="H23" s="132">
        <v>8778.2000000000007</v>
      </c>
      <c r="I23" s="132">
        <v>8778.2000000000007</v>
      </c>
      <c r="J23" s="141">
        <v>6395.7353199999998</v>
      </c>
      <c r="K23" s="132">
        <v>7678.1557899999998</v>
      </c>
      <c r="L23" s="132">
        <v>8184.0419999999995</v>
      </c>
      <c r="M23" s="132">
        <v>-594.15800000000127</v>
      </c>
      <c r="N23" s="114"/>
      <c r="O23" s="114"/>
      <c r="P23" s="114"/>
      <c r="Q23" s="114"/>
      <c r="R23" s="114"/>
      <c r="S23" s="114"/>
    </row>
    <row r="24" spans="1:19" ht="45" customHeight="1" x14ac:dyDescent="0.55000000000000004">
      <c r="A24" s="116" t="s">
        <v>27</v>
      </c>
      <c r="B24" s="310" t="s">
        <v>49</v>
      </c>
      <c r="C24" s="311"/>
      <c r="D24" s="311"/>
      <c r="E24" s="311"/>
      <c r="F24" s="311"/>
      <c r="G24" s="312"/>
      <c r="H24" s="135">
        <v>5109</v>
      </c>
      <c r="I24" s="135">
        <v>5109</v>
      </c>
      <c r="J24" s="143">
        <v>3230.65987</v>
      </c>
      <c r="K24" s="135">
        <v>3962.0419999999999</v>
      </c>
      <c r="L24" s="135">
        <v>4287.0419999999995</v>
      </c>
      <c r="M24" s="135">
        <v>-821.95800000000054</v>
      </c>
      <c r="N24" s="115" t="s">
        <v>90</v>
      </c>
      <c r="O24" s="114"/>
      <c r="P24" s="114"/>
      <c r="Q24" s="115"/>
      <c r="R24" s="115" t="s">
        <v>91</v>
      </c>
      <c r="S24" s="115"/>
    </row>
    <row r="25" spans="1:19" ht="71.25" customHeight="1" x14ac:dyDescent="0.55000000000000004">
      <c r="A25" s="116" t="s">
        <v>28</v>
      </c>
      <c r="B25" s="310" t="s">
        <v>37</v>
      </c>
      <c r="C25" s="311"/>
      <c r="D25" s="311"/>
      <c r="E25" s="311"/>
      <c r="F25" s="311"/>
      <c r="G25" s="312"/>
      <c r="H25" s="135">
        <v>3666.7</v>
      </c>
      <c r="I25" s="135">
        <v>3666.7</v>
      </c>
      <c r="J25" s="143">
        <v>2935.37545</v>
      </c>
      <c r="K25" s="135">
        <v>3486.2137899999998</v>
      </c>
      <c r="L25" s="135">
        <v>3666.7</v>
      </c>
      <c r="M25" s="135">
        <v>0</v>
      </c>
      <c r="N25" s="115" t="s">
        <v>90</v>
      </c>
      <c r="O25" s="114"/>
      <c r="P25" s="114"/>
      <c r="Q25" s="114"/>
      <c r="R25" s="114"/>
      <c r="S25" s="114"/>
    </row>
    <row r="26" spans="1:19" ht="119.25" customHeight="1" x14ac:dyDescent="0.55000000000000004">
      <c r="A26" s="116" t="s">
        <v>29</v>
      </c>
      <c r="B26" s="310" t="s">
        <v>44</v>
      </c>
      <c r="C26" s="311"/>
      <c r="D26" s="311"/>
      <c r="E26" s="311"/>
      <c r="F26" s="311"/>
      <c r="G26" s="312"/>
      <c r="H26" s="135">
        <v>1.5</v>
      </c>
      <c r="I26" s="135">
        <v>1.5</v>
      </c>
      <c r="J26" s="143">
        <v>229.3</v>
      </c>
      <c r="K26" s="135">
        <v>229.3</v>
      </c>
      <c r="L26" s="135">
        <v>229.3</v>
      </c>
      <c r="M26" s="138">
        <v>227.8</v>
      </c>
      <c r="N26" s="130"/>
      <c r="O26" s="114"/>
      <c r="P26" s="114"/>
      <c r="Q26" s="114"/>
      <c r="R26" s="114"/>
      <c r="S26" s="114"/>
    </row>
    <row r="27" spans="1:19" ht="50.25" customHeight="1" x14ac:dyDescent="0.55000000000000004">
      <c r="A27" s="116" t="s">
        <v>45</v>
      </c>
      <c r="B27" s="310" t="s">
        <v>46</v>
      </c>
      <c r="C27" s="311"/>
      <c r="D27" s="311"/>
      <c r="E27" s="311"/>
      <c r="F27" s="311"/>
      <c r="G27" s="312"/>
      <c r="H27" s="135">
        <v>1</v>
      </c>
      <c r="I27" s="135">
        <v>1</v>
      </c>
      <c r="J27" s="143">
        <v>0.4</v>
      </c>
      <c r="K27" s="135">
        <v>0.6</v>
      </c>
      <c r="L27" s="135">
        <v>1</v>
      </c>
      <c r="M27" s="138">
        <v>0</v>
      </c>
      <c r="N27" s="130"/>
      <c r="O27" s="114"/>
      <c r="P27" s="114"/>
      <c r="Q27" s="114"/>
      <c r="R27" s="114"/>
      <c r="S27" s="114"/>
    </row>
    <row r="28" spans="1:19" ht="44.25" customHeight="1" x14ac:dyDescent="0.6">
      <c r="A28" s="126" t="s">
        <v>10</v>
      </c>
      <c r="B28" s="307" t="s">
        <v>30</v>
      </c>
      <c r="C28" s="308"/>
      <c r="D28" s="308"/>
      <c r="E28" s="308"/>
      <c r="F28" s="308"/>
      <c r="G28" s="309"/>
      <c r="H28" s="132">
        <v>215.1</v>
      </c>
      <c r="I28" s="132">
        <v>215.1</v>
      </c>
      <c r="J28" s="141">
        <v>79.389970000000005</v>
      </c>
      <c r="K28" s="132">
        <v>82.48997</v>
      </c>
      <c r="L28" s="132">
        <v>85.589969999999994</v>
      </c>
      <c r="M28" s="133">
        <v>-129.51003</v>
      </c>
      <c r="N28" s="130"/>
      <c r="O28" s="114"/>
      <c r="P28" s="114"/>
      <c r="Q28" s="114"/>
      <c r="R28" s="114"/>
      <c r="S28" s="114"/>
    </row>
    <row r="29" spans="1:19" ht="111" customHeight="1" x14ac:dyDescent="0.6">
      <c r="A29" s="126" t="s">
        <v>11</v>
      </c>
      <c r="B29" s="307" t="s">
        <v>72</v>
      </c>
      <c r="C29" s="308"/>
      <c r="D29" s="308"/>
      <c r="E29" s="308"/>
      <c r="F29" s="308"/>
      <c r="G29" s="309"/>
      <c r="H29" s="132">
        <v>14339.3</v>
      </c>
      <c r="I29" s="132">
        <v>14435.71372</v>
      </c>
      <c r="J29" s="141">
        <v>12247.524820000001</v>
      </c>
      <c r="K29" s="132">
        <v>13580.83934</v>
      </c>
      <c r="L29" s="132">
        <v>14497.41632</v>
      </c>
      <c r="M29" s="133">
        <v>158.116320000001</v>
      </c>
      <c r="N29" s="114"/>
      <c r="O29" s="114"/>
      <c r="P29" s="114"/>
      <c r="Q29" s="114"/>
      <c r="R29" s="114"/>
      <c r="S29" s="114"/>
    </row>
    <row r="30" spans="1:19" ht="117" customHeight="1" x14ac:dyDescent="0.55000000000000004">
      <c r="A30" s="120" t="s">
        <v>33</v>
      </c>
      <c r="B30" s="310" t="s">
        <v>73</v>
      </c>
      <c r="C30" s="311"/>
      <c r="D30" s="311"/>
      <c r="E30" s="311"/>
      <c r="F30" s="311"/>
      <c r="G30" s="312"/>
      <c r="H30" s="171">
        <v>14184.3</v>
      </c>
      <c r="I30" s="136">
        <v>14194.02</v>
      </c>
      <c r="J30" s="143">
        <v>11977.97574</v>
      </c>
      <c r="K30" s="135">
        <v>13305.29026</v>
      </c>
      <c r="L30" s="135">
        <v>14194.02</v>
      </c>
      <c r="M30" s="138">
        <v>9.7200000000011642</v>
      </c>
      <c r="N30" s="115" t="s">
        <v>87</v>
      </c>
      <c r="O30" s="114"/>
      <c r="P30" s="114"/>
      <c r="Q30" s="114"/>
      <c r="R30" s="114"/>
      <c r="S30" s="114"/>
    </row>
    <row r="31" spans="1:19" ht="84" customHeight="1" x14ac:dyDescent="0.55000000000000004">
      <c r="A31" s="120" t="s">
        <v>34</v>
      </c>
      <c r="B31" s="310" t="s">
        <v>76</v>
      </c>
      <c r="C31" s="311"/>
      <c r="D31" s="311"/>
      <c r="E31" s="311"/>
      <c r="F31" s="311"/>
      <c r="G31" s="312"/>
      <c r="H31" s="170">
        <v>155</v>
      </c>
      <c r="I31" s="136">
        <v>155</v>
      </c>
      <c r="J31" s="143">
        <v>121.15276</v>
      </c>
      <c r="K31" s="135">
        <v>127.15276</v>
      </c>
      <c r="L31" s="135">
        <v>155</v>
      </c>
      <c r="M31" s="138">
        <v>0</v>
      </c>
      <c r="N31" s="114"/>
      <c r="O31" s="114"/>
      <c r="P31" s="114"/>
      <c r="Q31" s="114"/>
      <c r="R31" s="114"/>
      <c r="S31" s="114"/>
    </row>
    <row r="32" spans="1:19" ht="130.5" customHeight="1" x14ac:dyDescent="0.55000000000000004">
      <c r="A32" s="120" t="s">
        <v>77</v>
      </c>
      <c r="B32" s="310" t="s">
        <v>75</v>
      </c>
      <c r="C32" s="311"/>
      <c r="D32" s="311"/>
      <c r="E32" s="311"/>
      <c r="F32" s="311"/>
      <c r="G32" s="312"/>
      <c r="H32" s="137">
        <v>0</v>
      </c>
      <c r="I32" s="135">
        <v>86.693719999999999</v>
      </c>
      <c r="J32" s="143">
        <v>148.39632</v>
      </c>
      <c r="K32" s="135">
        <v>148.39632</v>
      </c>
      <c r="L32" s="135">
        <v>148.39632</v>
      </c>
      <c r="M32" s="138">
        <v>148.39632</v>
      </c>
      <c r="N32" s="115" t="s">
        <v>93</v>
      </c>
      <c r="O32" s="114"/>
      <c r="P32" s="114"/>
      <c r="Q32" s="114"/>
      <c r="R32" s="114"/>
      <c r="S32" s="114"/>
    </row>
    <row r="33" spans="1:19" ht="77.25" customHeight="1" x14ac:dyDescent="0.6">
      <c r="A33" s="119" t="s">
        <v>11</v>
      </c>
      <c r="B33" s="307" t="s">
        <v>36</v>
      </c>
      <c r="C33" s="308"/>
      <c r="D33" s="308"/>
      <c r="E33" s="308"/>
      <c r="F33" s="308"/>
      <c r="G33" s="309"/>
      <c r="H33" s="132">
        <v>1959</v>
      </c>
      <c r="I33" s="132">
        <v>1960.5353500000001</v>
      </c>
      <c r="J33" s="141">
        <v>1276.93703</v>
      </c>
      <c r="K33" s="132">
        <v>1376.8910800000001</v>
      </c>
      <c r="L33" s="132">
        <v>1376.8910800000001</v>
      </c>
      <c r="M33" s="133">
        <v>-582.1089199999999</v>
      </c>
      <c r="N33" s="114"/>
      <c r="O33" s="114"/>
      <c r="P33" s="114"/>
      <c r="Q33" s="114"/>
      <c r="R33" s="114"/>
      <c r="S33" s="114"/>
    </row>
    <row r="34" spans="1:19" ht="45" customHeight="1" x14ac:dyDescent="0.55000000000000004">
      <c r="A34" s="116" t="s">
        <v>33</v>
      </c>
      <c r="B34" s="310" t="s">
        <v>43</v>
      </c>
      <c r="C34" s="311"/>
      <c r="D34" s="311"/>
      <c r="E34" s="311"/>
      <c r="F34" s="311"/>
      <c r="G34" s="312"/>
      <c r="H34" s="135">
        <v>100</v>
      </c>
      <c r="I34" s="135">
        <v>101.53534999999999</v>
      </c>
      <c r="J34" s="143">
        <v>1.53535</v>
      </c>
      <c r="K34" s="135">
        <v>1.53535</v>
      </c>
      <c r="L34" s="135">
        <v>1.53535</v>
      </c>
      <c r="M34" s="138">
        <v>-98.464650000000006</v>
      </c>
      <c r="N34" s="115" t="s">
        <v>93</v>
      </c>
      <c r="O34" s="114"/>
      <c r="P34" s="114"/>
      <c r="Q34" s="114"/>
      <c r="R34" s="114"/>
      <c r="S34" s="115" t="s">
        <v>94</v>
      </c>
    </row>
    <row r="35" spans="1:19" ht="132" customHeight="1" x14ac:dyDescent="0.55000000000000004">
      <c r="A35" s="116" t="s">
        <v>34</v>
      </c>
      <c r="B35" s="310" t="s">
        <v>35</v>
      </c>
      <c r="C35" s="311"/>
      <c r="D35" s="311"/>
      <c r="E35" s="311"/>
      <c r="F35" s="311"/>
      <c r="G35" s="312"/>
      <c r="H35" s="135">
        <v>1800</v>
      </c>
      <c r="I35" s="135">
        <v>1800</v>
      </c>
      <c r="J35" s="143">
        <v>967.24594999999999</v>
      </c>
      <c r="K35" s="135">
        <v>1067.2</v>
      </c>
      <c r="L35" s="135">
        <v>1067.2</v>
      </c>
      <c r="M35" s="138">
        <v>-732.8</v>
      </c>
      <c r="N35" s="115" t="s">
        <v>90</v>
      </c>
      <c r="O35" s="114"/>
      <c r="P35" s="114"/>
      <c r="Q35" s="114"/>
      <c r="R35" s="114"/>
      <c r="S35" s="114"/>
    </row>
    <row r="36" spans="1:19" ht="191.25" customHeight="1" x14ac:dyDescent="0.55000000000000004">
      <c r="A36" s="116" t="s">
        <v>77</v>
      </c>
      <c r="B36" s="310" t="s">
        <v>79</v>
      </c>
      <c r="C36" s="311"/>
      <c r="D36" s="311"/>
      <c r="E36" s="311"/>
      <c r="F36" s="311"/>
      <c r="G36" s="312"/>
      <c r="H36" s="135">
        <v>59</v>
      </c>
      <c r="I36" s="135">
        <v>59</v>
      </c>
      <c r="J36" s="143">
        <v>308.15573000000001</v>
      </c>
      <c r="K36" s="135">
        <v>308.15573000000001</v>
      </c>
      <c r="L36" s="135">
        <v>308.15573000000001</v>
      </c>
      <c r="M36" s="138">
        <v>249.15573000000001</v>
      </c>
      <c r="N36" s="115" t="s">
        <v>93</v>
      </c>
      <c r="O36" s="114"/>
      <c r="P36" s="114"/>
      <c r="Q36" s="114"/>
      <c r="R36" s="114"/>
      <c r="S36" s="114"/>
    </row>
    <row r="37" spans="1:19" ht="126" customHeight="1" x14ac:dyDescent="0.6">
      <c r="A37" s="119" t="s">
        <v>12</v>
      </c>
      <c r="B37" s="313" t="s">
        <v>6</v>
      </c>
      <c r="C37" s="314"/>
      <c r="D37" s="314"/>
      <c r="E37" s="314"/>
      <c r="F37" s="314"/>
      <c r="G37" s="315"/>
      <c r="H37" s="132">
        <v>850</v>
      </c>
      <c r="I37" s="132">
        <v>850</v>
      </c>
      <c r="J37" s="141">
        <v>733.57551000000001</v>
      </c>
      <c r="K37" s="132">
        <v>774.77551000000005</v>
      </c>
      <c r="L37" s="132">
        <v>850</v>
      </c>
      <c r="M37" s="133">
        <v>0</v>
      </c>
      <c r="N37" s="115" t="s">
        <v>87</v>
      </c>
      <c r="O37" s="114"/>
      <c r="P37" s="114"/>
      <c r="Q37" s="114"/>
      <c r="R37" s="114"/>
      <c r="S37" s="114"/>
    </row>
    <row r="38" spans="1:19" ht="126" customHeight="1" x14ac:dyDescent="0.6">
      <c r="A38" s="119" t="s">
        <v>13</v>
      </c>
      <c r="B38" s="307" t="s">
        <v>16</v>
      </c>
      <c r="C38" s="308"/>
      <c r="D38" s="308"/>
      <c r="E38" s="308"/>
      <c r="F38" s="308"/>
      <c r="G38" s="309"/>
      <c r="H38" s="132">
        <v>0</v>
      </c>
      <c r="I38" s="132">
        <v>0</v>
      </c>
      <c r="J38" s="141">
        <v>17.288730000000001</v>
      </c>
      <c r="K38" s="132">
        <v>17.288730000000001</v>
      </c>
      <c r="L38" s="132">
        <v>17.288730000000001</v>
      </c>
      <c r="M38" s="133">
        <v>17.288730000000001</v>
      </c>
      <c r="N38" s="114"/>
      <c r="O38" s="114"/>
      <c r="P38" s="114"/>
      <c r="Q38" s="114"/>
      <c r="R38" s="114"/>
      <c r="S38" s="114"/>
    </row>
    <row r="39" spans="1:19" ht="81" customHeight="1" x14ac:dyDescent="0.6">
      <c r="A39" s="119" t="s">
        <v>14</v>
      </c>
      <c r="B39" s="316" t="s">
        <v>15</v>
      </c>
      <c r="C39" s="317"/>
      <c r="D39" s="317"/>
      <c r="E39" s="317"/>
      <c r="F39" s="317"/>
      <c r="G39" s="318"/>
      <c r="H39" s="132">
        <v>0</v>
      </c>
      <c r="I39" s="132">
        <v>0</v>
      </c>
      <c r="J39" s="141">
        <v>4.0514799999999997</v>
      </c>
      <c r="K39" s="132">
        <v>4.0514799999999997</v>
      </c>
      <c r="L39" s="132">
        <v>0</v>
      </c>
      <c r="M39" s="133">
        <v>0</v>
      </c>
      <c r="N39" s="130"/>
      <c r="O39" s="114"/>
      <c r="P39" s="114"/>
      <c r="Q39" s="114"/>
      <c r="R39" s="114"/>
      <c r="S39" s="114"/>
    </row>
    <row r="40" spans="1:19" ht="81" customHeight="1" x14ac:dyDescent="0.6">
      <c r="A40" s="150" t="s">
        <v>40</v>
      </c>
      <c r="B40" s="319" t="s">
        <v>38</v>
      </c>
      <c r="C40" s="320"/>
      <c r="D40" s="320"/>
      <c r="E40" s="320"/>
      <c r="F40" s="320"/>
      <c r="G40" s="321"/>
      <c r="H40" s="151"/>
      <c r="I40" s="151">
        <v>0</v>
      </c>
      <c r="J40" s="151">
        <v>0</v>
      </c>
      <c r="K40" s="151">
        <v>0</v>
      </c>
      <c r="L40" s="151"/>
      <c r="M40" s="132">
        <v>0</v>
      </c>
      <c r="N40" s="152"/>
      <c r="O40" s="129"/>
      <c r="P40" s="129"/>
      <c r="Q40" s="129"/>
      <c r="R40" s="129"/>
      <c r="S40" s="129"/>
    </row>
    <row r="41" spans="1:19" ht="74.25" customHeight="1" thickBot="1" x14ac:dyDescent="0.65">
      <c r="A41" s="172" t="s">
        <v>47</v>
      </c>
      <c r="B41" s="370" t="s">
        <v>39</v>
      </c>
      <c r="C41" s="371"/>
      <c r="D41" s="371"/>
      <c r="E41" s="371"/>
      <c r="F41" s="371"/>
      <c r="G41" s="372"/>
      <c r="H41" s="139">
        <v>0</v>
      </c>
      <c r="I41" s="139"/>
      <c r="J41" s="145"/>
      <c r="K41" s="140"/>
      <c r="L41" s="139">
        <v>0</v>
      </c>
      <c r="M41" s="173">
        <v>0</v>
      </c>
      <c r="N41" s="114"/>
      <c r="O41" s="114"/>
      <c r="P41" s="114"/>
      <c r="Q41" s="114"/>
      <c r="R41" s="114"/>
      <c r="S41" s="114"/>
    </row>
    <row r="42" spans="1:19" s="32" customFormat="1" ht="77.25" customHeight="1" thickBot="1" x14ac:dyDescent="0.65">
      <c r="A42" s="178"/>
      <c r="B42" s="346" t="s">
        <v>32</v>
      </c>
      <c r="C42" s="347"/>
      <c r="D42" s="347"/>
      <c r="E42" s="347"/>
      <c r="F42" s="347"/>
      <c r="G42" s="348"/>
      <c r="H42" s="179">
        <v>142330.79999999999</v>
      </c>
      <c r="I42" s="179">
        <v>144628.74906999999</v>
      </c>
      <c r="J42" s="179">
        <v>112060.19876</v>
      </c>
      <c r="K42" s="179">
        <v>123431.89515</v>
      </c>
      <c r="L42" s="179">
        <v>143422.55231999999</v>
      </c>
      <c r="M42" s="179">
        <v>1091.7523199999996</v>
      </c>
      <c r="N42" s="131"/>
      <c r="O42" s="114"/>
      <c r="P42" s="114"/>
      <c r="Q42" s="114"/>
      <c r="R42" s="114"/>
      <c r="S42" s="114"/>
    </row>
    <row r="43" spans="1:19" ht="103.5" customHeight="1" thickBot="1" x14ac:dyDescent="0.65">
      <c r="A43" s="175" t="s">
        <v>40</v>
      </c>
      <c r="B43" s="379" t="s">
        <v>56</v>
      </c>
      <c r="C43" s="380"/>
      <c r="D43" s="380"/>
      <c r="E43" s="380"/>
      <c r="F43" s="380"/>
      <c r="G43" s="381"/>
      <c r="H43" s="159">
        <v>537884.30000000005</v>
      </c>
      <c r="I43" s="159">
        <v>597820.57822999998</v>
      </c>
      <c r="J43" s="159">
        <v>487090.77684000006</v>
      </c>
      <c r="K43" s="159">
        <v>487090.77684000006</v>
      </c>
      <c r="L43" s="159">
        <v>597820.57822999998</v>
      </c>
      <c r="M43" s="159">
        <v>59936.27822999996</v>
      </c>
      <c r="N43" s="114"/>
      <c r="O43" s="114"/>
      <c r="P43" s="114"/>
      <c r="Q43" s="114"/>
      <c r="R43" s="114"/>
      <c r="S43" s="114"/>
    </row>
    <row r="44" spans="1:19" ht="79.5" customHeight="1" x14ac:dyDescent="0.6">
      <c r="A44" s="174" t="s">
        <v>47</v>
      </c>
      <c r="B44" s="373" t="s">
        <v>65</v>
      </c>
      <c r="C44" s="374"/>
      <c r="D44" s="374"/>
      <c r="E44" s="374"/>
      <c r="F44" s="374"/>
      <c r="G44" s="375"/>
      <c r="H44" s="158">
        <v>537884.30000000005</v>
      </c>
      <c r="I44" s="158">
        <v>599463.17660000001</v>
      </c>
      <c r="J44" s="153">
        <v>488733.37521000003</v>
      </c>
      <c r="K44" s="158">
        <v>488733.37521000003</v>
      </c>
      <c r="L44" s="158">
        <v>599463.17660000001</v>
      </c>
      <c r="M44" s="158">
        <v>61578.87659999996</v>
      </c>
      <c r="N44" s="114"/>
      <c r="O44" s="114"/>
      <c r="P44" s="114"/>
      <c r="Q44" s="114"/>
      <c r="R44" s="114"/>
      <c r="S44" s="114"/>
    </row>
    <row r="45" spans="1:19" ht="82.5" customHeight="1" x14ac:dyDescent="0.55000000000000004">
      <c r="A45" s="128" t="s">
        <v>66</v>
      </c>
      <c r="B45" s="301" t="s">
        <v>57</v>
      </c>
      <c r="C45" s="302"/>
      <c r="D45" s="302"/>
      <c r="E45" s="302"/>
      <c r="F45" s="302"/>
      <c r="G45" s="303"/>
      <c r="H45" s="135">
        <v>194729.2</v>
      </c>
      <c r="I45" s="135">
        <v>194707.3</v>
      </c>
      <c r="J45" s="143">
        <v>178481.67499999999</v>
      </c>
      <c r="K45" s="135">
        <v>178481.67499999999</v>
      </c>
      <c r="L45" s="135">
        <v>194707.3</v>
      </c>
      <c r="M45" s="135">
        <v>-21.900000000023283</v>
      </c>
      <c r="N45" s="114"/>
      <c r="O45" s="114"/>
      <c r="P45" s="114"/>
      <c r="Q45" s="114"/>
      <c r="R45" s="114"/>
      <c r="S45" s="114"/>
    </row>
    <row r="46" spans="1:19" ht="125.25" customHeight="1" x14ac:dyDescent="0.55000000000000004">
      <c r="A46" s="128" t="s">
        <v>67</v>
      </c>
      <c r="B46" s="301" t="s">
        <v>59</v>
      </c>
      <c r="C46" s="302"/>
      <c r="D46" s="302"/>
      <c r="E46" s="302"/>
      <c r="F46" s="302"/>
      <c r="G46" s="303"/>
      <c r="H46" s="135">
        <v>66894.899999999994</v>
      </c>
      <c r="I46" s="135">
        <v>117250.84</v>
      </c>
      <c r="J46" s="143">
        <v>64664.54479</v>
      </c>
      <c r="K46" s="135">
        <v>64664.54479</v>
      </c>
      <c r="L46" s="135">
        <v>117250.84</v>
      </c>
      <c r="M46" s="135">
        <v>50355.94</v>
      </c>
      <c r="N46" s="114"/>
      <c r="O46" s="114"/>
      <c r="P46" s="114"/>
      <c r="Q46" s="114"/>
      <c r="R46" s="114"/>
      <c r="S46" s="114"/>
    </row>
    <row r="47" spans="1:19" ht="54" customHeight="1" x14ac:dyDescent="0.55000000000000004">
      <c r="A47" s="128" t="s">
        <v>68</v>
      </c>
      <c r="B47" s="301" t="s">
        <v>60</v>
      </c>
      <c r="C47" s="302"/>
      <c r="D47" s="302"/>
      <c r="E47" s="302"/>
      <c r="F47" s="302"/>
      <c r="G47" s="303"/>
      <c r="H47" s="135">
        <v>270956.7</v>
      </c>
      <c r="I47" s="135">
        <v>272677.92316000001</v>
      </c>
      <c r="J47" s="143">
        <v>233228.42335</v>
      </c>
      <c r="K47" s="135">
        <v>233228.42335</v>
      </c>
      <c r="L47" s="135">
        <v>272677.92316000001</v>
      </c>
      <c r="M47" s="135">
        <v>1721.2231599999941</v>
      </c>
      <c r="N47" s="114"/>
      <c r="O47" s="114"/>
      <c r="P47" s="114"/>
      <c r="Q47" s="114"/>
      <c r="R47" s="114"/>
      <c r="S47" s="114"/>
    </row>
    <row r="48" spans="1:19" ht="83.25" customHeight="1" x14ac:dyDescent="0.55000000000000004">
      <c r="A48" s="128" t="s">
        <v>69</v>
      </c>
      <c r="B48" s="301" t="s">
        <v>62</v>
      </c>
      <c r="C48" s="302"/>
      <c r="D48" s="302"/>
      <c r="E48" s="302"/>
      <c r="F48" s="302"/>
      <c r="G48" s="303"/>
      <c r="H48" s="135">
        <v>5303.5</v>
      </c>
      <c r="I48" s="135">
        <v>14827.113439999999</v>
      </c>
      <c r="J48" s="143">
        <v>12358.73207</v>
      </c>
      <c r="K48" s="135">
        <v>12358.73207</v>
      </c>
      <c r="L48" s="135">
        <v>14827.113439999999</v>
      </c>
      <c r="M48" s="135">
        <v>9523.6134399999992</v>
      </c>
      <c r="N48" s="114"/>
      <c r="O48" s="114"/>
      <c r="P48" s="114"/>
      <c r="Q48" s="114"/>
      <c r="R48" s="114"/>
      <c r="S48" s="114"/>
    </row>
    <row r="49" spans="1:14" ht="73.5" customHeight="1" x14ac:dyDescent="0.55000000000000004">
      <c r="A49" s="128" t="s">
        <v>58</v>
      </c>
      <c r="B49" s="301" t="s">
        <v>83</v>
      </c>
      <c r="C49" s="302"/>
      <c r="D49" s="302"/>
      <c r="E49" s="302"/>
      <c r="F49" s="302"/>
      <c r="G49" s="303"/>
      <c r="H49" s="135">
        <v>0</v>
      </c>
      <c r="I49" s="135">
        <v>0</v>
      </c>
      <c r="J49" s="143">
        <v>0</v>
      </c>
      <c r="K49" s="135">
        <v>0</v>
      </c>
      <c r="L49" s="135">
        <v>0</v>
      </c>
      <c r="M49" s="135">
        <v>0</v>
      </c>
      <c r="N49" s="114"/>
    </row>
    <row r="50" spans="1:14" ht="80.25" customHeight="1" x14ac:dyDescent="0.55000000000000004">
      <c r="A50" s="128" t="s">
        <v>61</v>
      </c>
      <c r="B50" s="301" t="s">
        <v>74</v>
      </c>
      <c r="C50" s="302"/>
      <c r="D50" s="302"/>
      <c r="E50" s="302"/>
      <c r="F50" s="302"/>
      <c r="G50" s="303"/>
      <c r="H50" s="135">
        <v>0</v>
      </c>
      <c r="I50" s="135">
        <v>96.205780000000004</v>
      </c>
      <c r="J50" s="143">
        <v>96.205780000000004</v>
      </c>
      <c r="K50" s="135">
        <v>96.205780000000004</v>
      </c>
      <c r="L50" s="135">
        <v>96.205780000000004</v>
      </c>
      <c r="M50" s="135">
        <v>96.205780000000004</v>
      </c>
      <c r="N50" s="114"/>
    </row>
    <row r="51" spans="1:14" ht="138.75" customHeight="1" thickBot="1" x14ac:dyDescent="0.6">
      <c r="A51" s="176" t="s">
        <v>84</v>
      </c>
      <c r="B51" s="376" t="s">
        <v>78</v>
      </c>
      <c r="C51" s="377"/>
      <c r="D51" s="377"/>
      <c r="E51" s="377"/>
      <c r="F51" s="377"/>
      <c r="G51" s="378"/>
      <c r="H51" s="177">
        <v>0</v>
      </c>
      <c r="I51" s="177">
        <v>-1738.8041499999999</v>
      </c>
      <c r="J51" s="145">
        <v>-1738.8041499999999</v>
      </c>
      <c r="K51" s="177">
        <v>-1738.8041499999999</v>
      </c>
      <c r="L51" s="177">
        <v>-1738.8041499999999</v>
      </c>
      <c r="M51" s="177">
        <v>-1738.8041499999999</v>
      </c>
      <c r="N51" s="114"/>
    </row>
    <row r="52" spans="1:14" ht="65.25" customHeight="1" thickBot="1" x14ac:dyDescent="0.65">
      <c r="A52" s="178" t="s">
        <v>63</v>
      </c>
      <c r="B52" s="346" t="s">
        <v>64</v>
      </c>
      <c r="C52" s="347"/>
      <c r="D52" s="347"/>
      <c r="E52" s="347"/>
      <c r="F52" s="347"/>
      <c r="G52" s="348"/>
      <c r="H52" s="179">
        <v>680215.10000000009</v>
      </c>
      <c r="I52" s="179">
        <v>742449.3273</v>
      </c>
      <c r="J52" s="179">
        <v>599150.97560000001</v>
      </c>
      <c r="K52" s="179">
        <v>610522.67199000006</v>
      </c>
      <c r="L52" s="179">
        <v>741243.13055</v>
      </c>
      <c r="M52" s="179">
        <v>61028.030549999909</v>
      </c>
      <c r="N52" s="114"/>
    </row>
    <row r="53" spans="1:14" ht="187.5" customHeight="1" x14ac:dyDescent="0.6">
      <c r="A53" s="146"/>
      <c r="B53" s="299"/>
      <c r="C53" s="299"/>
      <c r="D53" s="299"/>
      <c r="E53" s="299"/>
      <c r="F53" s="299"/>
      <c r="G53" s="299"/>
      <c r="H53" s="299"/>
      <c r="I53" s="299"/>
      <c r="J53" s="299"/>
      <c r="K53" s="299"/>
      <c r="L53" s="299"/>
      <c r="M53" s="148"/>
      <c r="N53" s="114"/>
    </row>
    <row r="54" spans="1:14" ht="62.25" customHeight="1" x14ac:dyDescent="0.6">
      <c r="A54" s="146"/>
      <c r="B54" s="146"/>
      <c r="C54" s="146"/>
      <c r="D54" s="146"/>
      <c r="E54" s="146"/>
      <c r="F54" s="146"/>
      <c r="G54" s="146"/>
      <c r="H54" s="146"/>
      <c r="I54" s="149"/>
      <c r="J54" s="149"/>
      <c r="K54" s="149"/>
      <c r="L54" s="149"/>
      <c r="M54" s="148"/>
      <c r="N54" s="114"/>
    </row>
    <row r="55" spans="1:14" x14ac:dyDescent="0.55000000000000004">
      <c r="A55" s="300"/>
      <c r="B55" s="300"/>
      <c r="C55" s="300"/>
      <c r="D55" s="300"/>
      <c r="E55" s="300"/>
      <c r="F55" s="115"/>
      <c r="G55" s="115"/>
      <c r="H55" s="166"/>
      <c r="I55" s="167"/>
      <c r="J55" s="167"/>
      <c r="K55" s="168"/>
      <c r="L55" s="167"/>
      <c r="M55" s="169"/>
      <c r="N55" s="114"/>
    </row>
    <row r="56" spans="1:14" x14ac:dyDescent="0.55000000000000004">
      <c r="A56" s="147"/>
      <c r="B56" s="147"/>
      <c r="C56" s="147"/>
      <c r="D56" s="147"/>
      <c r="E56" s="147"/>
      <c r="F56" s="114"/>
      <c r="G56" s="114"/>
      <c r="H56" s="114"/>
      <c r="I56" s="114"/>
      <c r="J56" s="114"/>
      <c r="K56" s="114"/>
      <c r="L56" s="114"/>
      <c r="M56" s="114"/>
      <c r="N56" s="114"/>
    </row>
    <row r="57" spans="1:14" x14ac:dyDescent="0.55000000000000004">
      <c r="A57" s="300"/>
      <c r="B57" s="300"/>
      <c r="C57" s="300"/>
      <c r="D57" s="300"/>
      <c r="E57" s="300"/>
      <c r="F57" s="1"/>
      <c r="G57" s="1"/>
      <c r="H57" s="95"/>
      <c r="I57" s="96"/>
      <c r="J57" s="96"/>
      <c r="K57" s="97"/>
      <c r="L57" s="96"/>
      <c r="M57" s="98"/>
      <c r="N57"/>
    </row>
    <row r="58" spans="1:14" x14ac:dyDescent="0.55000000000000004">
      <c r="A58" s="81"/>
      <c r="B58" s="81"/>
      <c r="C58" s="81"/>
      <c r="D58" s="81"/>
      <c r="E58" s="81"/>
      <c r="N58"/>
    </row>
  </sheetData>
  <mergeCells count="51">
    <mergeCell ref="B10:G10"/>
    <mergeCell ref="B12:G12"/>
    <mergeCell ref="B40:G40"/>
    <mergeCell ref="A57:E57"/>
    <mergeCell ref="A2:M2"/>
    <mergeCell ref="A3:M3"/>
    <mergeCell ref="H6:H9"/>
    <mergeCell ref="I6:I9"/>
    <mergeCell ref="L6:L9"/>
    <mergeCell ref="B34:G34"/>
    <mergeCell ref="B35:G35"/>
    <mergeCell ref="B36:G36"/>
    <mergeCell ref="B37:G37"/>
    <mergeCell ref="B13:G13"/>
    <mergeCell ref="B14:G14"/>
    <mergeCell ref="B15:G15"/>
    <mergeCell ref="B19:G19"/>
    <mergeCell ref="B20:G20"/>
    <mergeCell ref="B26:G26"/>
    <mergeCell ref="B42:G42"/>
    <mergeCell ref="B43:G43"/>
    <mergeCell ref="B44:G44"/>
    <mergeCell ref="B51:G51"/>
    <mergeCell ref="B21:G21"/>
    <mergeCell ref="B23:G23"/>
    <mergeCell ref="B24:G24"/>
    <mergeCell ref="B25:G25"/>
    <mergeCell ref="B38:G38"/>
    <mergeCell ref="B27:G27"/>
    <mergeCell ref="B28:G28"/>
    <mergeCell ref="B29:G29"/>
    <mergeCell ref="B30:G30"/>
    <mergeCell ref="B31:G31"/>
    <mergeCell ref="B32:G32"/>
    <mergeCell ref="B33:G33"/>
    <mergeCell ref="B52:G52"/>
    <mergeCell ref="B53:L53"/>
    <mergeCell ref="A55:E55"/>
    <mergeCell ref="M6:M9"/>
    <mergeCell ref="K6:K9"/>
    <mergeCell ref="J6:J9"/>
    <mergeCell ref="A6:A9"/>
    <mergeCell ref="B6:G9"/>
    <mergeCell ref="B45:G45"/>
    <mergeCell ref="B46:G46"/>
    <mergeCell ref="B47:G47"/>
    <mergeCell ref="B48:G48"/>
    <mergeCell ref="B49:G49"/>
    <mergeCell ref="B50:G50"/>
    <mergeCell ref="B39:G39"/>
    <mergeCell ref="B41:G41"/>
  </mergeCells>
  <pageMargins left="0.70866141732283472" right="0.70866141732283472" top="0.98425196850393704" bottom="0" header="0.31496062992125984" footer="0.31496062992125984"/>
  <pageSetup paperSize="9" scale="1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6"/>
  <sheetViews>
    <sheetView zoomScale="30" zoomScaleNormal="30" workbookViewId="0">
      <selection activeCell="K53" sqref="K53"/>
    </sheetView>
  </sheetViews>
  <sheetFormatPr defaultRowHeight="12.75" x14ac:dyDescent="0.2"/>
  <cols>
    <col min="1" max="1" width="20.85546875" customWidth="1"/>
    <col min="4" max="4" width="23" customWidth="1"/>
    <col min="5" max="5" width="22.140625" customWidth="1"/>
    <col min="6" max="6" width="20" customWidth="1"/>
    <col min="7" max="7" width="34.7109375" customWidth="1"/>
    <col min="8" max="8" width="52.85546875" customWidth="1"/>
    <col min="9" max="9" width="46.5703125" customWidth="1"/>
    <col min="10" max="10" width="55.28515625" customWidth="1"/>
    <col min="11" max="11" width="62.140625" customWidth="1"/>
    <col min="12" max="12" width="67.7109375" customWidth="1"/>
    <col min="13" max="13" width="48.5703125" customWidth="1"/>
    <col min="17" max="17" width="42.85546875" customWidth="1"/>
  </cols>
  <sheetData>
    <row r="2" spans="1:15" ht="44.25" x14ac:dyDescent="0.55000000000000004">
      <c r="H2" s="99"/>
      <c r="I2" s="100"/>
      <c r="J2" s="100"/>
      <c r="K2" s="101"/>
      <c r="L2" s="100"/>
      <c r="M2" s="100"/>
      <c r="N2" s="1"/>
    </row>
    <row r="3" spans="1:15" ht="60" x14ac:dyDescent="0.8">
      <c r="A3" s="326" t="s">
        <v>51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1"/>
    </row>
    <row r="4" spans="1:15" ht="60" x14ac:dyDescent="0.8">
      <c r="A4" s="326" t="s">
        <v>98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1"/>
    </row>
    <row r="5" spans="1:15" ht="45" x14ac:dyDescent="0.6">
      <c r="A5" s="1"/>
      <c r="B5" s="1"/>
      <c r="C5" s="1"/>
      <c r="D5" s="1"/>
      <c r="E5" s="24"/>
      <c r="F5" s="24"/>
      <c r="G5" s="24"/>
      <c r="H5" s="92"/>
      <c r="I5" s="93"/>
      <c r="J5" s="93"/>
      <c r="K5" s="94"/>
      <c r="L5" s="93"/>
      <c r="M5" s="93"/>
      <c r="N5" s="1"/>
    </row>
    <row r="6" spans="1:15" ht="45" thickBot="1" x14ac:dyDescent="0.6">
      <c r="A6" s="1"/>
      <c r="B6" s="1"/>
      <c r="C6" s="1"/>
      <c r="D6" s="1"/>
      <c r="E6" s="1"/>
      <c r="F6" s="1"/>
      <c r="G6" s="1"/>
      <c r="H6" s="95"/>
      <c r="I6" s="96"/>
      <c r="J6" s="96"/>
      <c r="K6" s="97"/>
      <c r="L6" s="96"/>
      <c r="M6" s="96"/>
      <c r="N6" s="1"/>
    </row>
    <row r="7" spans="1:15" ht="44.25" x14ac:dyDescent="0.55000000000000004">
      <c r="A7" s="358" t="s">
        <v>55</v>
      </c>
      <c r="B7" s="361" t="s">
        <v>0</v>
      </c>
      <c r="C7" s="362"/>
      <c r="D7" s="362"/>
      <c r="E7" s="362"/>
      <c r="F7" s="362"/>
      <c r="G7" s="363"/>
      <c r="H7" s="349" t="s">
        <v>53</v>
      </c>
      <c r="I7" s="349" t="s">
        <v>52</v>
      </c>
      <c r="J7" s="355" t="s">
        <v>106</v>
      </c>
      <c r="K7" s="352" t="s">
        <v>82</v>
      </c>
      <c r="L7" s="385" t="s">
        <v>107</v>
      </c>
      <c r="M7" s="349" t="s">
        <v>54</v>
      </c>
      <c r="N7" s="1"/>
    </row>
    <row r="8" spans="1:15" ht="44.25" x14ac:dyDescent="0.55000000000000004">
      <c r="A8" s="359"/>
      <c r="B8" s="364"/>
      <c r="C8" s="365"/>
      <c r="D8" s="365"/>
      <c r="E8" s="365"/>
      <c r="F8" s="365"/>
      <c r="G8" s="366"/>
      <c r="H8" s="350"/>
      <c r="I8" s="350"/>
      <c r="J8" s="356"/>
      <c r="K8" s="353"/>
      <c r="L8" s="386"/>
      <c r="M8" s="350"/>
      <c r="N8" s="1"/>
    </row>
    <row r="9" spans="1:15" ht="44.25" x14ac:dyDescent="0.55000000000000004">
      <c r="A9" s="359"/>
      <c r="B9" s="364"/>
      <c r="C9" s="365"/>
      <c r="D9" s="365"/>
      <c r="E9" s="365"/>
      <c r="F9" s="365"/>
      <c r="G9" s="366"/>
      <c r="H9" s="350"/>
      <c r="I9" s="350"/>
      <c r="J9" s="356"/>
      <c r="K9" s="353"/>
      <c r="L9" s="386"/>
      <c r="M9" s="350"/>
      <c r="N9" s="1"/>
    </row>
    <row r="10" spans="1:15" ht="45" thickBot="1" x14ac:dyDescent="0.6">
      <c r="A10" s="360"/>
      <c r="B10" s="367"/>
      <c r="C10" s="368"/>
      <c r="D10" s="368"/>
      <c r="E10" s="368"/>
      <c r="F10" s="368"/>
      <c r="G10" s="369"/>
      <c r="H10" s="351"/>
      <c r="I10" s="351"/>
      <c r="J10" s="357"/>
      <c r="K10" s="354"/>
      <c r="L10" s="387"/>
      <c r="M10" s="351"/>
      <c r="N10" s="1"/>
    </row>
    <row r="11" spans="1:15" ht="45.75" thickBot="1" x14ac:dyDescent="0.65">
      <c r="A11" s="84" t="s">
        <v>8</v>
      </c>
      <c r="B11" s="379" t="s">
        <v>1</v>
      </c>
      <c r="C11" s="380"/>
      <c r="D11" s="380"/>
      <c r="E11" s="380"/>
      <c r="F11" s="380"/>
      <c r="G11" s="381"/>
      <c r="H11" s="88">
        <f>H13+H15+H21+H22</f>
        <v>121965.85</v>
      </c>
      <c r="I11" s="88">
        <f>I13+I15+I21+I22</f>
        <v>121965.90000000001</v>
      </c>
      <c r="J11" s="89">
        <f>J13+J15+J21+J22</f>
        <v>97666.720780000003</v>
      </c>
      <c r="K11" s="88">
        <f>K13+K15+K21+K22</f>
        <v>107716.23922</v>
      </c>
      <c r="L11" s="88">
        <f>L13+L15+L21+L22</f>
        <v>123766.43548</v>
      </c>
      <c r="M11" s="88">
        <f>L11-H11</f>
        <v>1800.5854799999943</v>
      </c>
      <c r="N11" s="1"/>
    </row>
    <row r="12" spans="1:15" ht="45" x14ac:dyDescent="0.6">
      <c r="A12" s="83"/>
      <c r="B12" s="10" t="s">
        <v>48</v>
      </c>
      <c r="C12" s="85"/>
      <c r="D12" s="85"/>
      <c r="E12" s="85"/>
      <c r="F12" s="85"/>
      <c r="G12" s="86"/>
      <c r="H12" s="87"/>
      <c r="I12" s="90"/>
      <c r="J12" s="82"/>
      <c r="K12" s="87"/>
      <c r="L12" s="87"/>
      <c r="M12" s="91"/>
      <c r="N12" s="1"/>
    </row>
    <row r="13" spans="1:15" ht="45" x14ac:dyDescent="0.6">
      <c r="A13" s="17" t="s">
        <v>18</v>
      </c>
      <c r="B13" s="307" t="s">
        <v>22</v>
      </c>
      <c r="C13" s="308"/>
      <c r="D13" s="308"/>
      <c r="E13" s="308"/>
      <c r="F13" s="308"/>
      <c r="G13" s="309"/>
      <c r="H13" s="35">
        <v>108284.8</v>
      </c>
      <c r="I13" s="35">
        <v>108284.8</v>
      </c>
      <c r="J13" s="51">
        <v>84505.099149999995</v>
      </c>
      <c r="K13" s="35">
        <v>94165.499150000003</v>
      </c>
      <c r="L13" s="35">
        <v>109224.69915</v>
      </c>
      <c r="M13" s="35">
        <f>L13-H13</f>
        <v>939.89914999999746</v>
      </c>
      <c r="N13" s="1" t="s">
        <v>87</v>
      </c>
      <c r="O13" s="32"/>
    </row>
    <row r="14" spans="1:15" ht="45" x14ac:dyDescent="0.6">
      <c r="A14" s="17"/>
      <c r="B14" s="343" t="s">
        <v>70</v>
      </c>
      <c r="C14" s="344"/>
      <c r="D14" s="344"/>
      <c r="E14" s="344"/>
      <c r="F14" s="344"/>
      <c r="G14" s="345"/>
      <c r="H14" s="37">
        <v>2904.2</v>
      </c>
      <c r="I14" s="37">
        <v>2904.2</v>
      </c>
      <c r="J14" s="52">
        <v>1016.9346</v>
      </c>
      <c r="K14" s="181">
        <v>1213.8345999999999</v>
      </c>
      <c r="L14" s="181">
        <f>K14+239.5</f>
        <v>1453.3345999999999</v>
      </c>
      <c r="M14" s="38">
        <f>L14-H14</f>
        <v>-1450.8653999999999</v>
      </c>
      <c r="N14" s="1"/>
    </row>
    <row r="15" spans="1:15" ht="45" x14ac:dyDescent="0.6">
      <c r="A15" s="23" t="s">
        <v>19</v>
      </c>
      <c r="B15" s="307" t="s">
        <v>23</v>
      </c>
      <c r="C15" s="308"/>
      <c r="D15" s="308"/>
      <c r="E15" s="308"/>
      <c r="F15" s="308"/>
      <c r="G15" s="309"/>
      <c r="H15" s="35">
        <f>H17+H18+H16+H19</f>
        <v>11145.949999999999</v>
      </c>
      <c r="I15" s="35">
        <f t="shared" ref="I15:M15" si="0">I17+I18+I16+I19</f>
        <v>11146</v>
      </c>
      <c r="J15" s="35">
        <f t="shared" si="0"/>
        <v>11250.057219999999</v>
      </c>
      <c r="K15" s="35">
        <f t="shared" si="0"/>
        <v>11407.275659999999</v>
      </c>
      <c r="L15" s="35">
        <f t="shared" si="0"/>
        <v>12109.071919999998</v>
      </c>
      <c r="M15" s="35">
        <f t="shared" si="0"/>
        <v>963.1219200000005</v>
      </c>
      <c r="N15" s="1"/>
    </row>
    <row r="16" spans="1:15" ht="129.75" customHeight="1" x14ac:dyDescent="0.55000000000000004">
      <c r="A16" s="17" t="s">
        <v>24</v>
      </c>
      <c r="B16" s="310" t="s">
        <v>81</v>
      </c>
      <c r="C16" s="311"/>
      <c r="D16" s="311"/>
      <c r="E16" s="311"/>
      <c r="F16" s="311"/>
      <c r="G16" s="312"/>
      <c r="H16" s="38">
        <v>844.9</v>
      </c>
      <c r="I16" s="38">
        <v>844.9</v>
      </c>
      <c r="J16" s="53">
        <v>302.80374</v>
      </c>
      <c r="K16" s="38">
        <v>395.20373999999998</v>
      </c>
      <c r="L16" s="38">
        <f>I16</f>
        <v>844.9</v>
      </c>
      <c r="M16" s="38">
        <f t="shared" ref="M16:M23" si="1">L16-H16</f>
        <v>0</v>
      </c>
      <c r="N16" s="1"/>
    </row>
    <row r="17" spans="1:19" ht="44.25" x14ac:dyDescent="0.55000000000000004">
      <c r="A17" s="2" t="s">
        <v>25</v>
      </c>
      <c r="B17" s="18" t="s">
        <v>3</v>
      </c>
      <c r="C17" s="19"/>
      <c r="D17" s="19"/>
      <c r="E17" s="19"/>
      <c r="F17" s="21"/>
      <c r="G17" s="20"/>
      <c r="H17" s="38">
        <v>6106.9</v>
      </c>
      <c r="I17" s="38">
        <v>6106.9</v>
      </c>
      <c r="J17" s="53">
        <v>5879.9450900000002</v>
      </c>
      <c r="K17" s="38">
        <v>5900.7641599999997</v>
      </c>
      <c r="L17" s="38">
        <v>5968.1641600000003</v>
      </c>
      <c r="M17" s="38">
        <f t="shared" si="1"/>
        <v>-138.73583999999937</v>
      </c>
      <c r="N17" s="1" t="s">
        <v>87</v>
      </c>
      <c r="O17" s="32"/>
    </row>
    <row r="18" spans="1:19" ht="44.25" x14ac:dyDescent="0.55000000000000004">
      <c r="A18" s="2" t="s">
        <v>71</v>
      </c>
      <c r="B18" s="2" t="s">
        <v>92</v>
      </c>
      <c r="C18" s="21"/>
      <c r="D18" s="21"/>
      <c r="E18" s="21"/>
      <c r="F18" s="21"/>
      <c r="G18" s="22"/>
      <c r="H18" s="39">
        <v>62.15</v>
      </c>
      <c r="I18" s="39">
        <v>62.2</v>
      </c>
      <c r="J18" s="53">
        <v>83.747280000000003</v>
      </c>
      <c r="K18" s="38">
        <f>J18</f>
        <v>83.747280000000003</v>
      </c>
      <c r="L18" s="40">
        <f>J18</f>
        <v>83.747280000000003</v>
      </c>
      <c r="M18" s="38">
        <f t="shared" si="1"/>
        <v>21.597280000000005</v>
      </c>
      <c r="N18" s="1"/>
    </row>
    <row r="19" spans="1:19" ht="44.25" x14ac:dyDescent="0.55000000000000004">
      <c r="A19" s="113" t="s">
        <v>100</v>
      </c>
      <c r="B19" s="388" t="s">
        <v>99</v>
      </c>
      <c r="C19" s="389"/>
      <c r="D19" s="389"/>
      <c r="E19" s="389"/>
      <c r="F19" s="389"/>
      <c r="G19" s="390"/>
      <c r="H19" s="39">
        <v>4132</v>
      </c>
      <c r="I19" s="39">
        <v>4132</v>
      </c>
      <c r="J19" s="53">
        <v>4983.5611099999996</v>
      </c>
      <c r="K19" s="38">
        <v>5027.5604800000001</v>
      </c>
      <c r="L19" s="40">
        <v>5212.2604799999999</v>
      </c>
      <c r="M19" s="135">
        <f t="shared" si="1"/>
        <v>1080.2604799999999</v>
      </c>
      <c r="N19" s="1"/>
    </row>
    <row r="20" spans="1:19" ht="45" x14ac:dyDescent="0.6">
      <c r="A20" s="2" t="s">
        <v>101</v>
      </c>
      <c r="B20" s="2" t="s">
        <v>4</v>
      </c>
      <c r="C20" s="21"/>
      <c r="D20" s="21"/>
      <c r="E20" s="21"/>
      <c r="F20" s="21"/>
      <c r="G20" s="22"/>
      <c r="H20" s="39">
        <v>0</v>
      </c>
      <c r="I20" s="39">
        <v>0</v>
      </c>
      <c r="J20" s="53">
        <v>0</v>
      </c>
      <c r="K20" s="38">
        <v>0</v>
      </c>
      <c r="L20" s="38">
        <v>0</v>
      </c>
      <c r="M20" s="35">
        <f t="shared" si="1"/>
        <v>0</v>
      </c>
      <c r="N20" s="1"/>
    </row>
    <row r="21" spans="1:19" ht="52.5" customHeight="1" x14ac:dyDescent="0.6">
      <c r="A21" s="14" t="s">
        <v>20</v>
      </c>
      <c r="B21" s="323" t="s">
        <v>42</v>
      </c>
      <c r="C21" s="324"/>
      <c r="D21" s="324"/>
      <c r="E21" s="324"/>
      <c r="F21" s="324"/>
      <c r="G21" s="325"/>
      <c r="H21" s="35">
        <v>2535.1</v>
      </c>
      <c r="I21" s="35">
        <v>2535.1</v>
      </c>
      <c r="J21" s="51">
        <v>1911.5641900000001</v>
      </c>
      <c r="K21" s="35">
        <v>2143.4641900000001</v>
      </c>
      <c r="L21" s="35">
        <v>2432.66419</v>
      </c>
      <c r="M21" s="35">
        <f t="shared" si="1"/>
        <v>-102.43580999999995</v>
      </c>
      <c r="N21" s="1"/>
    </row>
    <row r="22" spans="1:19" ht="83.25" customHeight="1" thickBot="1" x14ac:dyDescent="0.65">
      <c r="A22" s="3" t="s">
        <v>21</v>
      </c>
      <c r="B22" s="382" t="s">
        <v>41</v>
      </c>
      <c r="C22" s="383"/>
      <c r="D22" s="383"/>
      <c r="E22" s="383"/>
      <c r="F22" s="383"/>
      <c r="G22" s="384"/>
      <c r="H22" s="79">
        <v>0</v>
      </c>
      <c r="I22" s="79">
        <v>0</v>
      </c>
      <c r="J22" s="55">
        <v>2.2000000000000001E-4</v>
      </c>
      <c r="K22" s="79">
        <f>J22</f>
        <v>2.2000000000000001E-4</v>
      </c>
      <c r="L22" s="79">
        <f>J22</f>
        <v>2.2000000000000001E-4</v>
      </c>
      <c r="M22" s="79">
        <f t="shared" si="1"/>
        <v>2.2000000000000001E-4</v>
      </c>
      <c r="N22" s="33"/>
    </row>
    <row r="23" spans="1:19" ht="45.75" thickBot="1" x14ac:dyDescent="0.65">
      <c r="A23" s="84" t="s">
        <v>7</v>
      </c>
      <c r="B23" s="379" t="s">
        <v>31</v>
      </c>
      <c r="C23" s="380"/>
      <c r="D23" s="380"/>
      <c r="E23" s="380"/>
      <c r="F23" s="380"/>
      <c r="G23" s="381"/>
      <c r="H23" s="88">
        <f>H25+H30+H35+H40+H41+H42+H31</f>
        <v>25735.199999999997</v>
      </c>
      <c r="I23" s="88">
        <f>I25+I30+I35+I40+I41+I42+I31</f>
        <v>25735.199999999997</v>
      </c>
      <c r="J23" s="89">
        <f>J25+J30+J35+J40+J41+J42+J31</f>
        <v>14675.428930000002</v>
      </c>
      <c r="K23" s="88">
        <f>K25+K30+K35+K40+K41+K42+K31</f>
        <v>17242.058940000003</v>
      </c>
      <c r="L23" s="88">
        <f>L25+L30+L35+L40+L41+L42+L31</f>
        <v>19318.658940000001</v>
      </c>
      <c r="M23" s="88">
        <f t="shared" si="1"/>
        <v>-6416.5410599999959</v>
      </c>
      <c r="N23" s="1"/>
    </row>
    <row r="24" spans="1:19" ht="45" x14ac:dyDescent="0.6">
      <c r="A24" s="83"/>
      <c r="B24" s="10" t="s">
        <v>2</v>
      </c>
      <c r="C24" s="85"/>
      <c r="D24" s="85"/>
      <c r="E24" s="85"/>
      <c r="F24" s="85"/>
      <c r="G24" s="86"/>
      <c r="H24" s="87"/>
      <c r="I24" s="87"/>
      <c r="J24" s="82"/>
      <c r="K24" s="87"/>
      <c r="L24" s="87"/>
      <c r="M24" s="87"/>
      <c r="N24" s="1"/>
    </row>
    <row r="25" spans="1:19" ht="45" x14ac:dyDescent="0.6">
      <c r="A25" s="14" t="s">
        <v>9</v>
      </c>
      <c r="B25" s="307" t="s">
        <v>17</v>
      </c>
      <c r="C25" s="308"/>
      <c r="D25" s="308"/>
      <c r="E25" s="308"/>
      <c r="F25" s="308"/>
      <c r="G25" s="309"/>
      <c r="H25" s="35">
        <f>H26+H27+H29+H28</f>
        <v>8715.9</v>
      </c>
      <c r="I25" s="35">
        <f>I26+I27+I29+I28</f>
        <v>8715.9</v>
      </c>
      <c r="J25" s="51">
        <f>J26+J27+J29+J28</f>
        <v>6785.5651300000009</v>
      </c>
      <c r="K25" s="35">
        <f>K26+K27+K29+K28</f>
        <v>7860.5936400000001</v>
      </c>
      <c r="L25" s="35">
        <f>L26+L27+L29+L28</f>
        <v>8340.6936399999995</v>
      </c>
      <c r="M25" s="35">
        <f t="shared" ref="M25:M55" si="2">L25-H25</f>
        <v>-375.20636000000013</v>
      </c>
      <c r="N25" s="1"/>
    </row>
    <row r="26" spans="1:19" ht="76.5" customHeight="1" x14ac:dyDescent="0.55000000000000004">
      <c r="A26" s="2" t="s">
        <v>27</v>
      </c>
      <c r="B26" s="310" t="s">
        <v>49</v>
      </c>
      <c r="C26" s="311"/>
      <c r="D26" s="311"/>
      <c r="E26" s="311"/>
      <c r="F26" s="311"/>
      <c r="G26" s="312"/>
      <c r="H26" s="38">
        <v>4945</v>
      </c>
      <c r="I26" s="38">
        <v>4945</v>
      </c>
      <c r="J26" s="53">
        <v>4309.8714900000004</v>
      </c>
      <c r="K26" s="38">
        <v>4719.8999999999996</v>
      </c>
      <c r="L26" s="38">
        <v>4945</v>
      </c>
      <c r="M26" s="38">
        <f t="shared" si="2"/>
        <v>0</v>
      </c>
      <c r="N26" s="1" t="s">
        <v>90</v>
      </c>
      <c r="Q26" s="1"/>
      <c r="R26" s="1"/>
      <c r="S26" s="1"/>
    </row>
    <row r="27" spans="1:19" ht="146.25" customHeight="1" x14ac:dyDescent="0.55000000000000004">
      <c r="A27" s="2" t="s">
        <v>28</v>
      </c>
      <c r="B27" s="310" t="s">
        <v>37</v>
      </c>
      <c r="C27" s="311"/>
      <c r="D27" s="311"/>
      <c r="E27" s="311"/>
      <c r="F27" s="311"/>
      <c r="G27" s="312"/>
      <c r="H27" s="38">
        <v>3769.5</v>
      </c>
      <c r="I27" s="38">
        <v>3769.5</v>
      </c>
      <c r="J27" s="53">
        <v>2473.5936400000001</v>
      </c>
      <c r="K27" s="38">
        <v>3138.5936400000001</v>
      </c>
      <c r="L27" s="38">
        <v>3393.5936400000001</v>
      </c>
      <c r="M27" s="38">
        <f t="shared" si="2"/>
        <v>-375.90635999999995</v>
      </c>
      <c r="N27" s="1" t="s">
        <v>90</v>
      </c>
    </row>
    <row r="28" spans="1:19" ht="93.75" customHeight="1" x14ac:dyDescent="0.55000000000000004">
      <c r="A28" s="2" t="s">
        <v>29</v>
      </c>
      <c r="B28" s="310" t="s">
        <v>44</v>
      </c>
      <c r="C28" s="311"/>
      <c r="D28" s="311"/>
      <c r="E28" s="311"/>
      <c r="F28" s="311"/>
      <c r="G28" s="312"/>
      <c r="H28" s="38">
        <v>1</v>
      </c>
      <c r="I28" s="38">
        <v>1</v>
      </c>
      <c r="J28" s="53">
        <v>0</v>
      </c>
      <c r="K28" s="38">
        <v>0</v>
      </c>
      <c r="L28" s="38">
        <v>0</v>
      </c>
      <c r="M28" s="41">
        <f>L28-H28</f>
        <v>-1</v>
      </c>
      <c r="N28" s="33"/>
    </row>
    <row r="29" spans="1:19" ht="83.25" customHeight="1" x14ac:dyDescent="0.55000000000000004">
      <c r="A29" s="2" t="s">
        <v>45</v>
      </c>
      <c r="B29" s="310" t="s">
        <v>46</v>
      </c>
      <c r="C29" s="311"/>
      <c r="D29" s="311"/>
      <c r="E29" s="311"/>
      <c r="F29" s="311"/>
      <c r="G29" s="312"/>
      <c r="H29" s="38">
        <v>0.4</v>
      </c>
      <c r="I29" s="38">
        <v>0.4</v>
      </c>
      <c r="J29" s="53">
        <v>2.1</v>
      </c>
      <c r="K29" s="38">
        <v>2.1</v>
      </c>
      <c r="L29" s="38">
        <v>2.1</v>
      </c>
      <c r="M29" s="41">
        <f t="shared" si="2"/>
        <v>1.7000000000000002</v>
      </c>
      <c r="N29" s="33"/>
    </row>
    <row r="30" spans="1:19" ht="96" customHeight="1" x14ac:dyDescent="0.6">
      <c r="A30" s="23" t="s">
        <v>10</v>
      </c>
      <c r="B30" s="307" t="s">
        <v>30</v>
      </c>
      <c r="C30" s="308"/>
      <c r="D30" s="308"/>
      <c r="E30" s="308"/>
      <c r="F30" s="308"/>
      <c r="G30" s="309"/>
      <c r="H30" s="35">
        <v>122.3</v>
      </c>
      <c r="I30" s="35">
        <v>122.3</v>
      </c>
      <c r="J30" s="51">
        <v>48.392290000000003</v>
      </c>
      <c r="K30" s="35">
        <v>50.4</v>
      </c>
      <c r="L30" s="35">
        <v>52.4</v>
      </c>
      <c r="M30" s="36">
        <f t="shared" si="2"/>
        <v>-69.900000000000006</v>
      </c>
      <c r="N30" s="33"/>
    </row>
    <row r="31" spans="1:19" ht="125.25" customHeight="1" x14ac:dyDescent="0.6">
      <c r="A31" s="23" t="s">
        <v>11</v>
      </c>
      <c r="B31" s="307" t="s">
        <v>72</v>
      </c>
      <c r="C31" s="308"/>
      <c r="D31" s="308"/>
      <c r="E31" s="308"/>
      <c r="F31" s="308"/>
      <c r="G31" s="309"/>
      <c r="H31" s="35">
        <f>H32+H33+H34</f>
        <v>15425.5</v>
      </c>
      <c r="I31" s="35">
        <f>I32+I33+I34</f>
        <v>15425.5</v>
      </c>
      <c r="J31" s="51">
        <f>J32+J33+J34</f>
        <v>6323.8341100000007</v>
      </c>
      <c r="K31" s="35">
        <f>K32+K33+K34</f>
        <v>7855.2777800000003</v>
      </c>
      <c r="L31" s="35">
        <f>L32+L33+L34</f>
        <v>9319.3777800000007</v>
      </c>
      <c r="M31" s="36">
        <f t="shared" si="2"/>
        <v>-6106.1222199999993</v>
      </c>
      <c r="N31" s="1"/>
    </row>
    <row r="32" spans="1:19" ht="83.25" customHeight="1" x14ac:dyDescent="0.55000000000000004">
      <c r="A32" s="17" t="s">
        <v>33</v>
      </c>
      <c r="B32" s="310" t="s">
        <v>73</v>
      </c>
      <c r="C32" s="311"/>
      <c r="D32" s="311"/>
      <c r="E32" s="311"/>
      <c r="F32" s="311"/>
      <c r="G32" s="312"/>
      <c r="H32" s="103">
        <v>15259.5</v>
      </c>
      <c r="I32" s="39">
        <v>15259.5</v>
      </c>
      <c r="J32" s="53">
        <v>6090.2428600000003</v>
      </c>
      <c r="K32" s="38">
        <f>J32+1523.5</f>
        <v>7613.7428600000003</v>
      </c>
      <c r="L32" s="38">
        <f>K32+1445.2</f>
        <v>9058.942860000001</v>
      </c>
      <c r="M32" s="41">
        <f t="shared" si="2"/>
        <v>-6200.557139999999</v>
      </c>
      <c r="N32" s="1" t="s">
        <v>87</v>
      </c>
    </row>
    <row r="33" spans="1:24" ht="143.25" customHeight="1" x14ac:dyDescent="0.55000000000000004">
      <c r="A33" s="17" t="s">
        <v>34</v>
      </c>
      <c r="B33" s="310" t="s">
        <v>76</v>
      </c>
      <c r="C33" s="311"/>
      <c r="D33" s="311"/>
      <c r="E33" s="311"/>
      <c r="F33" s="311"/>
      <c r="G33" s="312"/>
      <c r="H33" s="102">
        <v>166</v>
      </c>
      <c r="I33" s="39">
        <v>166</v>
      </c>
      <c r="J33" s="53">
        <v>223.33492000000001</v>
      </c>
      <c r="K33" s="38">
        <v>231.23491999999999</v>
      </c>
      <c r="L33" s="38">
        <v>250.13491999999999</v>
      </c>
      <c r="M33" s="41">
        <f t="shared" si="2"/>
        <v>84.134919999999994</v>
      </c>
      <c r="N33" s="115" t="s">
        <v>87</v>
      </c>
    </row>
    <row r="34" spans="1:24" ht="85.5" customHeight="1" x14ac:dyDescent="0.55000000000000004">
      <c r="A34" s="17" t="s">
        <v>77</v>
      </c>
      <c r="B34" s="310" t="s">
        <v>75</v>
      </c>
      <c r="C34" s="311"/>
      <c r="D34" s="311"/>
      <c r="E34" s="311"/>
      <c r="F34" s="311"/>
      <c r="G34" s="312"/>
      <c r="H34" s="40">
        <v>0</v>
      </c>
      <c r="I34" s="38">
        <v>0</v>
      </c>
      <c r="J34" s="53">
        <v>10.25633</v>
      </c>
      <c r="K34" s="38">
        <v>10.3</v>
      </c>
      <c r="L34" s="38">
        <v>10.3</v>
      </c>
      <c r="M34" s="41">
        <f t="shared" si="2"/>
        <v>10.3</v>
      </c>
      <c r="N34" s="115" t="s">
        <v>87</v>
      </c>
    </row>
    <row r="35" spans="1:24" ht="147.75" customHeight="1" x14ac:dyDescent="0.6">
      <c r="A35" s="14" t="s">
        <v>11</v>
      </c>
      <c r="B35" s="307" t="s">
        <v>36</v>
      </c>
      <c r="C35" s="308"/>
      <c r="D35" s="308"/>
      <c r="E35" s="308"/>
      <c r="F35" s="308"/>
      <c r="G35" s="309"/>
      <c r="H35" s="35">
        <f>H36+H37+H38</f>
        <v>1275</v>
      </c>
      <c r="I35" s="35">
        <f>I36+I37+I38</f>
        <v>1275</v>
      </c>
      <c r="J35" s="51">
        <f>J36+J37+J38+J39</f>
        <v>1220.2548200000001</v>
      </c>
      <c r="K35" s="35">
        <f>K36+K37+K38</f>
        <v>1178.4049399999999</v>
      </c>
      <c r="L35" s="35">
        <f>L36+L37+L38</f>
        <v>1308.80494</v>
      </c>
      <c r="M35" s="36">
        <f t="shared" si="2"/>
        <v>33.804939999999988</v>
      </c>
      <c r="N35" s="1"/>
    </row>
    <row r="36" spans="1:24" ht="179.25" customHeight="1" x14ac:dyDescent="0.55000000000000004">
      <c r="A36" s="2" t="s">
        <v>33</v>
      </c>
      <c r="B36" s="310" t="s">
        <v>103</v>
      </c>
      <c r="C36" s="311"/>
      <c r="D36" s="311"/>
      <c r="E36" s="311"/>
      <c r="F36" s="311"/>
      <c r="G36" s="312"/>
      <c r="H36" s="38">
        <v>100</v>
      </c>
      <c r="I36" s="38">
        <v>100</v>
      </c>
      <c r="J36" s="53">
        <v>0</v>
      </c>
      <c r="K36" s="38">
        <f t="shared" ref="K36:K42" si="3">J36</f>
        <v>0</v>
      </c>
      <c r="L36" s="38">
        <v>50</v>
      </c>
      <c r="M36" s="41">
        <f t="shared" si="2"/>
        <v>-50</v>
      </c>
      <c r="N36" s="1" t="s">
        <v>102</v>
      </c>
      <c r="S36" s="1" t="s">
        <v>108</v>
      </c>
    </row>
    <row r="37" spans="1:24" ht="123" customHeight="1" x14ac:dyDescent="0.55000000000000004">
      <c r="A37" s="2" t="s">
        <v>34</v>
      </c>
      <c r="B37" s="310" t="s">
        <v>35</v>
      </c>
      <c r="C37" s="311"/>
      <c r="D37" s="311"/>
      <c r="E37" s="311"/>
      <c r="F37" s="311"/>
      <c r="G37" s="312"/>
      <c r="H37" s="38">
        <v>950</v>
      </c>
      <c r="I37" s="38">
        <v>950</v>
      </c>
      <c r="J37" s="53">
        <v>1033.80494</v>
      </c>
      <c r="K37" s="38">
        <f>J37</f>
        <v>1033.80494</v>
      </c>
      <c r="L37" s="38">
        <f>J37</f>
        <v>1033.80494</v>
      </c>
      <c r="M37" s="41">
        <f t="shared" si="2"/>
        <v>83.804939999999988</v>
      </c>
      <c r="N37" s="1" t="s">
        <v>102</v>
      </c>
    </row>
    <row r="38" spans="1:24" ht="128.25" customHeight="1" x14ac:dyDescent="0.55000000000000004">
      <c r="A38" s="2" t="s">
        <v>77</v>
      </c>
      <c r="B38" s="310" t="s">
        <v>79</v>
      </c>
      <c r="C38" s="311"/>
      <c r="D38" s="311"/>
      <c r="E38" s="311"/>
      <c r="F38" s="311"/>
      <c r="G38" s="312"/>
      <c r="H38" s="38">
        <v>225</v>
      </c>
      <c r="I38" s="38">
        <v>225</v>
      </c>
      <c r="J38" s="53">
        <v>114.63703</v>
      </c>
      <c r="K38" s="38">
        <v>144.6</v>
      </c>
      <c r="L38" s="38">
        <v>225</v>
      </c>
      <c r="M38" s="41">
        <f t="shared" si="2"/>
        <v>0</v>
      </c>
      <c r="N38" s="115" t="s">
        <v>90</v>
      </c>
      <c r="R38" s="115" t="s">
        <v>109</v>
      </c>
    </row>
    <row r="39" spans="1:24" ht="135" customHeight="1" x14ac:dyDescent="0.55000000000000004">
      <c r="A39" s="2" t="s">
        <v>104</v>
      </c>
      <c r="B39" s="310" t="s">
        <v>105</v>
      </c>
      <c r="C39" s="311"/>
      <c r="D39" s="311"/>
      <c r="E39" s="311"/>
      <c r="F39" s="311"/>
      <c r="G39" s="312"/>
      <c r="H39" s="38">
        <v>0</v>
      </c>
      <c r="I39" s="38">
        <v>0</v>
      </c>
      <c r="J39" s="53">
        <v>71.812849999999997</v>
      </c>
      <c r="K39" s="38">
        <f>J39</f>
        <v>71.812849999999997</v>
      </c>
      <c r="L39" s="38">
        <f>J39</f>
        <v>71.812849999999997</v>
      </c>
      <c r="M39" s="41"/>
      <c r="N39" s="1"/>
    </row>
    <row r="40" spans="1:24" ht="45" x14ac:dyDescent="0.6">
      <c r="A40" s="14" t="s">
        <v>12</v>
      </c>
      <c r="B40" s="313" t="s">
        <v>6</v>
      </c>
      <c r="C40" s="314"/>
      <c r="D40" s="314"/>
      <c r="E40" s="314"/>
      <c r="F40" s="314"/>
      <c r="G40" s="315"/>
      <c r="H40" s="35">
        <v>196.5</v>
      </c>
      <c r="I40" s="35">
        <v>196.5</v>
      </c>
      <c r="J40" s="51">
        <v>270.10595999999998</v>
      </c>
      <c r="K40" s="35">
        <f>J40</f>
        <v>270.10595999999998</v>
      </c>
      <c r="L40" s="35">
        <f>K40</f>
        <v>270.10595999999998</v>
      </c>
      <c r="M40" s="36">
        <f t="shared" si="2"/>
        <v>73.605959999999982</v>
      </c>
      <c r="N40" s="1" t="s">
        <v>110</v>
      </c>
    </row>
    <row r="41" spans="1:24" ht="45" x14ac:dyDescent="0.6">
      <c r="A41" s="14" t="s">
        <v>13</v>
      </c>
      <c r="B41" s="307" t="s">
        <v>16</v>
      </c>
      <c r="C41" s="308"/>
      <c r="D41" s="308"/>
      <c r="E41" s="308"/>
      <c r="F41" s="308"/>
      <c r="G41" s="309"/>
      <c r="H41" s="35">
        <v>0</v>
      </c>
      <c r="I41" s="35">
        <v>0</v>
      </c>
      <c r="J41" s="51">
        <v>27.276620000000001</v>
      </c>
      <c r="K41" s="35">
        <f t="shared" si="3"/>
        <v>27.276620000000001</v>
      </c>
      <c r="L41" s="35">
        <f>J41</f>
        <v>27.276620000000001</v>
      </c>
      <c r="M41" s="36">
        <f t="shared" si="2"/>
        <v>27.276620000000001</v>
      </c>
      <c r="N41" s="1"/>
    </row>
    <row r="42" spans="1:24" ht="45" x14ac:dyDescent="0.6">
      <c r="A42" s="14" t="s">
        <v>14</v>
      </c>
      <c r="B42" s="316" t="s">
        <v>15</v>
      </c>
      <c r="C42" s="317"/>
      <c r="D42" s="317"/>
      <c r="E42" s="317"/>
      <c r="F42" s="317"/>
      <c r="G42" s="318"/>
      <c r="H42" s="35">
        <v>0</v>
      </c>
      <c r="I42" s="35">
        <v>0</v>
      </c>
      <c r="J42" s="51">
        <v>0</v>
      </c>
      <c r="K42" s="35">
        <f t="shared" si="3"/>
        <v>0</v>
      </c>
      <c r="L42" s="35">
        <v>0</v>
      </c>
      <c r="M42" s="36">
        <f t="shared" si="2"/>
        <v>0</v>
      </c>
      <c r="N42" s="33"/>
    </row>
    <row r="43" spans="1:24" ht="45" x14ac:dyDescent="0.6">
      <c r="A43" s="78" t="s">
        <v>40</v>
      </c>
      <c r="B43" s="319" t="s">
        <v>38</v>
      </c>
      <c r="C43" s="320"/>
      <c r="D43" s="320"/>
      <c r="E43" s="320"/>
      <c r="F43" s="320"/>
      <c r="G43" s="321"/>
      <c r="H43" s="79"/>
      <c r="I43" s="79">
        <f>I44</f>
        <v>0</v>
      </c>
      <c r="J43" s="79">
        <f>J44</f>
        <v>0</v>
      </c>
      <c r="K43" s="79">
        <f>K44</f>
        <v>0</v>
      </c>
      <c r="L43" s="79"/>
      <c r="M43" s="35">
        <f t="shared" si="2"/>
        <v>0</v>
      </c>
      <c r="N43" s="80"/>
      <c r="O43" s="32"/>
      <c r="P43" s="32"/>
      <c r="Q43" s="32"/>
      <c r="R43" s="32"/>
      <c r="S43" s="32"/>
      <c r="T43" s="32"/>
      <c r="U43" s="32"/>
      <c r="V43" s="32"/>
      <c r="W43" s="32"/>
      <c r="X43" s="32"/>
    </row>
    <row r="44" spans="1:24" ht="134.25" customHeight="1" thickBot="1" x14ac:dyDescent="0.65">
      <c r="A44" s="104" t="s">
        <v>47</v>
      </c>
      <c r="B44" s="370" t="s">
        <v>39</v>
      </c>
      <c r="C44" s="371"/>
      <c r="D44" s="371"/>
      <c r="E44" s="371"/>
      <c r="F44" s="371"/>
      <c r="G44" s="372"/>
      <c r="H44" s="42">
        <v>0</v>
      </c>
      <c r="I44" s="42"/>
      <c r="J44" s="56"/>
      <c r="K44" s="43"/>
      <c r="L44" s="42">
        <v>0</v>
      </c>
      <c r="M44" s="105">
        <f t="shared" si="2"/>
        <v>0</v>
      </c>
      <c r="N44" s="1"/>
    </row>
    <row r="45" spans="1:24" ht="45.75" thickBot="1" x14ac:dyDescent="0.65">
      <c r="A45" s="110"/>
      <c r="B45" s="346" t="s">
        <v>32</v>
      </c>
      <c r="C45" s="347"/>
      <c r="D45" s="347"/>
      <c r="E45" s="347"/>
      <c r="F45" s="347"/>
      <c r="G45" s="348"/>
      <c r="H45" s="111">
        <f>H11+H23+H43-0.01</f>
        <v>147701.03999999998</v>
      </c>
      <c r="I45" s="111">
        <f>I11+I23+I43-0.1</f>
        <v>147701</v>
      </c>
      <c r="J45" s="111">
        <f>J11+J23+J43</f>
        <v>112342.14971</v>
      </c>
      <c r="K45" s="111">
        <f>K11+K23+K43</f>
        <v>124958.29816000001</v>
      </c>
      <c r="L45" s="111">
        <f>L11+L23+L44</f>
        <v>143085.09442000001</v>
      </c>
      <c r="M45" s="111">
        <f t="shared" si="2"/>
        <v>-4615.9455799999705</v>
      </c>
      <c r="N45" s="34"/>
    </row>
    <row r="46" spans="1:24" ht="45.75" thickBot="1" x14ac:dyDescent="0.65">
      <c r="A46" s="107" t="s">
        <v>40</v>
      </c>
      <c r="B46" s="379" t="s">
        <v>56</v>
      </c>
      <c r="C46" s="380"/>
      <c r="D46" s="380"/>
      <c r="E46" s="380"/>
      <c r="F46" s="380"/>
      <c r="G46" s="381"/>
      <c r="H46" s="88">
        <f>H47+H54+H52+H53</f>
        <v>541499.80000000005</v>
      </c>
      <c r="I46" s="88">
        <f t="shared" ref="I46" si="4">I47+I54+I52+I53</f>
        <v>541499.75</v>
      </c>
      <c r="J46" s="88">
        <f>J47+J54+J52+J53</f>
        <v>455131.36491000006</v>
      </c>
      <c r="K46" s="88">
        <f t="shared" ref="K46:M46" si="5">K47+K54+K52+K53</f>
        <v>455131.36491000006</v>
      </c>
      <c r="L46" s="88">
        <f t="shared" si="5"/>
        <v>540932.9829399999</v>
      </c>
      <c r="M46" s="88">
        <f t="shared" si="5"/>
        <v>-566.81706000004647</v>
      </c>
      <c r="N46" s="1"/>
    </row>
    <row r="47" spans="1:24" ht="45" x14ac:dyDescent="0.6">
      <c r="A47" s="106" t="s">
        <v>47</v>
      </c>
      <c r="B47" s="373" t="s">
        <v>65</v>
      </c>
      <c r="C47" s="374"/>
      <c r="D47" s="374"/>
      <c r="E47" s="374"/>
      <c r="F47" s="374"/>
      <c r="G47" s="375"/>
      <c r="H47" s="87">
        <f>SUM(H48:H51)</f>
        <v>541499.80000000005</v>
      </c>
      <c r="I47" s="87">
        <f>SUM(I48:I51)</f>
        <v>541499.75</v>
      </c>
      <c r="J47" s="82">
        <f>SUM(J48:J51)</f>
        <v>455698.13197000005</v>
      </c>
      <c r="K47" s="87">
        <f>SUM(K48:K51)</f>
        <v>455698.13197000005</v>
      </c>
      <c r="L47" s="87">
        <f>SUM(L48:L51)</f>
        <v>541499.75</v>
      </c>
      <c r="M47" s="87">
        <f>L47-H47</f>
        <v>-5.0000000046566129E-2</v>
      </c>
      <c r="N47" s="1"/>
    </row>
    <row r="48" spans="1:24" ht="44.25" x14ac:dyDescent="0.55000000000000004">
      <c r="A48" s="30" t="s">
        <v>66</v>
      </c>
      <c r="B48" s="301" t="s">
        <v>57</v>
      </c>
      <c r="C48" s="302"/>
      <c r="D48" s="302"/>
      <c r="E48" s="302"/>
      <c r="F48" s="302"/>
      <c r="G48" s="303"/>
      <c r="H48" s="180">
        <v>229334.3</v>
      </c>
      <c r="I48" s="38">
        <v>229334.3</v>
      </c>
      <c r="J48" s="53">
        <v>184203.22500000001</v>
      </c>
      <c r="K48" s="38">
        <f>J48</f>
        <v>184203.22500000001</v>
      </c>
      <c r="L48" s="38">
        <f>I48</f>
        <v>229334.3</v>
      </c>
      <c r="M48" s="38">
        <f>L48-H48</f>
        <v>0</v>
      </c>
      <c r="N48" s="1"/>
    </row>
    <row r="49" spans="1:14" ht="44.25" x14ac:dyDescent="0.55000000000000004">
      <c r="A49" s="30" t="s">
        <v>67</v>
      </c>
      <c r="B49" s="301" t="s">
        <v>59</v>
      </c>
      <c r="C49" s="302"/>
      <c r="D49" s="302"/>
      <c r="E49" s="302"/>
      <c r="F49" s="302"/>
      <c r="G49" s="303"/>
      <c r="H49" s="180">
        <v>30022.400000000001</v>
      </c>
      <c r="I49" s="38">
        <v>30022.400000000001</v>
      </c>
      <c r="J49" s="53">
        <v>53240.015220000001</v>
      </c>
      <c r="K49" s="38">
        <f t="shared" ref="K49:K54" si="6">J49</f>
        <v>53240.015220000001</v>
      </c>
      <c r="L49" s="38">
        <f>I49</f>
        <v>30022.400000000001</v>
      </c>
      <c r="M49" s="38">
        <f>L49-H49</f>
        <v>0</v>
      </c>
      <c r="N49" s="1"/>
    </row>
    <row r="50" spans="1:14" ht="44.25" x14ac:dyDescent="0.55000000000000004">
      <c r="A50" s="30" t="s">
        <v>68</v>
      </c>
      <c r="B50" s="301" t="s">
        <v>60</v>
      </c>
      <c r="C50" s="302"/>
      <c r="D50" s="302"/>
      <c r="E50" s="302"/>
      <c r="F50" s="302"/>
      <c r="G50" s="303"/>
      <c r="H50" s="180">
        <v>276285.2</v>
      </c>
      <c r="I50" s="38">
        <v>276285.2</v>
      </c>
      <c r="J50" s="53">
        <v>211403.36580999999</v>
      </c>
      <c r="K50" s="38">
        <f t="shared" si="6"/>
        <v>211403.36580999999</v>
      </c>
      <c r="L50" s="38">
        <f>I50</f>
        <v>276285.2</v>
      </c>
      <c r="M50" s="38">
        <f t="shared" si="2"/>
        <v>0</v>
      </c>
      <c r="N50" s="1"/>
    </row>
    <row r="51" spans="1:14" ht="44.25" x14ac:dyDescent="0.55000000000000004">
      <c r="A51" s="30" t="s">
        <v>69</v>
      </c>
      <c r="B51" s="301" t="s">
        <v>62</v>
      </c>
      <c r="C51" s="302"/>
      <c r="D51" s="302"/>
      <c r="E51" s="302"/>
      <c r="F51" s="302"/>
      <c r="G51" s="303"/>
      <c r="H51" s="180">
        <v>5857.9</v>
      </c>
      <c r="I51" s="38">
        <v>5857.85</v>
      </c>
      <c r="J51" s="53">
        <v>6851.5259400000004</v>
      </c>
      <c r="K51" s="38">
        <f t="shared" si="6"/>
        <v>6851.5259400000004</v>
      </c>
      <c r="L51" s="38">
        <f>I51</f>
        <v>5857.85</v>
      </c>
      <c r="M51" s="38">
        <f t="shared" si="2"/>
        <v>-4.9999999999272404E-2</v>
      </c>
      <c r="N51" s="1"/>
    </row>
    <row r="52" spans="1:14" ht="44.25" x14ac:dyDescent="0.55000000000000004">
      <c r="A52" s="30" t="s">
        <v>58</v>
      </c>
      <c r="B52" s="301" t="s">
        <v>83</v>
      </c>
      <c r="C52" s="302"/>
      <c r="D52" s="302"/>
      <c r="E52" s="302"/>
      <c r="F52" s="302"/>
      <c r="G52" s="303"/>
      <c r="H52" s="38">
        <v>0</v>
      </c>
      <c r="I52" s="38">
        <v>0</v>
      </c>
      <c r="J52" s="53">
        <v>0</v>
      </c>
      <c r="K52" s="38">
        <f t="shared" si="6"/>
        <v>0</v>
      </c>
      <c r="L52" s="38">
        <f>J52</f>
        <v>0</v>
      </c>
      <c r="M52" s="38">
        <f t="shared" si="2"/>
        <v>0</v>
      </c>
      <c r="N52" s="1"/>
    </row>
    <row r="53" spans="1:14" ht="44.25" x14ac:dyDescent="0.55000000000000004">
      <c r="A53" s="30" t="s">
        <v>61</v>
      </c>
      <c r="B53" s="301" t="s">
        <v>74</v>
      </c>
      <c r="C53" s="302"/>
      <c r="D53" s="302"/>
      <c r="E53" s="302"/>
      <c r="F53" s="302"/>
      <c r="G53" s="303"/>
      <c r="H53" s="38">
        <v>0</v>
      </c>
      <c r="I53" s="38">
        <v>0</v>
      </c>
      <c r="J53" s="53">
        <v>249.2</v>
      </c>
      <c r="K53" s="38">
        <f t="shared" si="6"/>
        <v>249.2</v>
      </c>
      <c r="L53" s="38">
        <f>J53</f>
        <v>249.2</v>
      </c>
      <c r="M53" s="38">
        <f t="shared" si="2"/>
        <v>249.2</v>
      </c>
    </row>
    <row r="54" spans="1:14" ht="45" thickBot="1" x14ac:dyDescent="0.6">
      <c r="A54" s="108" t="s">
        <v>84</v>
      </c>
      <c r="B54" s="376" t="s">
        <v>78</v>
      </c>
      <c r="C54" s="377"/>
      <c r="D54" s="377"/>
      <c r="E54" s="377"/>
      <c r="F54" s="377"/>
      <c r="G54" s="378"/>
      <c r="H54" s="109">
        <v>0</v>
      </c>
      <c r="I54" s="109">
        <v>0</v>
      </c>
      <c r="J54" s="56">
        <v>-815.96705999999995</v>
      </c>
      <c r="K54" s="109">
        <f t="shared" si="6"/>
        <v>-815.96705999999995</v>
      </c>
      <c r="L54" s="109">
        <f>J54</f>
        <v>-815.96705999999995</v>
      </c>
      <c r="M54" s="109">
        <f t="shared" si="2"/>
        <v>-815.96705999999995</v>
      </c>
    </row>
    <row r="55" spans="1:14" ht="45.75" thickBot="1" x14ac:dyDescent="0.65">
      <c r="A55" s="110" t="s">
        <v>63</v>
      </c>
      <c r="B55" s="346" t="s">
        <v>64</v>
      </c>
      <c r="C55" s="347"/>
      <c r="D55" s="347"/>
      <c r="E55" s="347"/>
      <c r="F55" s="347"/>
      <c r="G55" s="348"/>
      <c r="H55" s="111">
        <f>H45+H46</f>
        <v>689200.84000000008</v>
      </c>
      <c r="I55" s="111">
        <f>I45+I46</f>
        <v>689200.75</v>
      </c>
      <c r="J55" s="111">
        <f>J45+J46</f>
        <v>567473.51462000003</v>
      </c>
      <c r="K55" s="111">
        <f>K45+K46</f>
        <v>580089.66307000001</v>
      </c>
      <c r="L55" s="111">
        <f>L45+L46</f>
        <v>684018.07735999988</v>
      </c>
      <c r="M55" s="111">
        <f t="shared" si="2"/>
        <v>-5182.7626400002046</v>
      </c>
    </row>
    <row r="56" spans="1:14" ht="45" x14ac:dyDescent="0.6">
      <c r="A56" s="112"/>
      <c r="B56" s="299"/>
      <c r="C56" s="299"/>
      <c r="D56" s="299"/>
      <c r="E56" s="299"/>
      <c r="F56" s="299"/>
      <c r="G56" s="299"/>
      <c r="H56" s="299"/>
      <c r="I56" s="299"/>
      <c r="J56" s="299"/>
      <c r="K56" s="299"/>
      <c r="L56" s="299"/>
      <c r="M56" s="66"/>
    </row>
  </sheetData>
  <mergeCells count="51">
    <mergeCell ref="A3:M3"/>
    <mergeCell ref="A4:M4"/>
    <mergeCell ref="A7:A10"/>
    <mergeCell ref="B7:G10"/>
    <mergeCell ref="H7:H10"/>
    <mergeCell ref="I7:I10"/>
    <mergeCell ref="J7:J10"/>
    <mergeCell ref="K7:K10"/>
    <mergeCell ref="L7:L10"/>
    <mergeCell ref="M7:M10"/>
    <mergeCell ref="B27:G27"/>
    <mergeCell ref="B11:G11"/>
    <mergeCell ref="B13:G13"/>
    <mergeCell ref="B14:G14"/>
    <mergeCell ref="B15:G15"/>
    <mergeCell ref="B16:G16"/>
    <mergeCell ref="B19:G19"/>
    <mergeCell ref="B21:G21"/>
    <mergeCell ref="B22:G22"/>
    <mergeCell ref="B23:G23"/>
    <mergeCell ref="B25:G25"/>
    <mergeCell ref="B26:G26"/>
    <mergeCell ref="B39:G39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51:G51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52:G52"/>
    <mergeCell ref="B53:G53"/>
    <mergeCell ref="B54:G54"/>
    <mergeCell ref="B55:G55"/>
    <mergeCell ref="B56:L56"/>
  </mergeCells>
  <pageMargins left="0" right="0" top="0" bottom="0" header="0.31496062992125984" footer="0.31496062992125984"/>
  <pageSetup paperSize="9" scale="2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0"/>
  <sheetViews>
    <sheetView view="pageBreakPreview" zoomScale="28" zoomScaleNormal="30" zoomScaleSheetLayoutView="28" workbookViewId="0">
      <selection activeCell="K30" sqref="K30"/>
    </sheetView>
  </sheetViews>
  <sheetFormatPr defaultRowHeight="12.75" x14ac:dyDescent="0.2"/>
  <cols>
    <col min="1" max="1" width="20.85546875" style="114" customWidth="1"/>
    <col min="2" max="3" width="9.140625" style="114"/>
    <col min="4" max="4" width="23" style="114" customWidth="1"/>
    <col min="5" max="5" width="22.140625" style="114" customWidth="1"/>
    <col min="6" max="6" width="20" style="114" customWidth="1"/>
    <col min="7" max="7" width="34.7109375" style="114" customWidth="1"/>
    <col min="8" max="8" width="52.85546875" style="114" customWidth="1"/>
    <col min="9" max="9" width="46.5703125" style="114" customWidth="1"/>
    <col min="10" max="10" width="55.28515625" style="114" customWidth="1"/>
    <col min="11" max="11" width="62.140625" style="114" customWidth="1"/>
    <col min="12" max="12" width="67.7109375" style="114" customWidth="1"/>
    <col min="13" max="13" width="48.5703125" style="114" customWidth="1"/>
    <col min="14" max="16" width="9.140625" style="114"/>
    <col min="17" max="17" width="42.85546875" style="114" customWidth="1"/>
    <col min="18" max="19" width="9.140625" style="114"/>
    <col min="20" max="20" width="42" style="114" customWidth="1"/>
    <col min="21" max="21" width="68.7109375" style="114" customWidth="1"/>
    <col min="22" max="16384" width="9.140625" style="114"/>
  </cols>
  <sheetData>
    <row r="2" spans="1:15" ht="44.25" x14ac:dyDescent="0.55000000000000004">
      <c r="H2" s="99"/>
      <c r="I2" s="100"/>
      <c r="J2" s="100"/>
      <c r="K2" s="101"/>
      <c r="L2" s="100"/>
      <c r="M2" s="100"/>
      <c r="N2" s="115"/>
    </row>
    <row r="3" spans="1:15" ht="60" x14ac:dyDescent="0.8">
      <c r="A3" s="326" t="s">
        <v>51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115"/>
    </row>
    <row r="4" spans="1:15" ht="60" x14ac:dyDescent="0.8">
      <c r="A4" s="326" t="s">
        <v>111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115"/>
    </row>
    <row r="5" spans="1:15" ht="45" x14ac:dyDescent="0.6">
      <c r="A5" s="115"/>
      <c r="B5" s="115"/>
      <c r="C5" s="115"/>
      <c r="D5" s="115"/>
      <c r="E5" s="127"/>
      <c r="F5" s="127"/>
      <c r="G5" s="127"/>
      <c r="H5" s="163"/>
      <c r="I5" s="164"/>
      <c r="J5" s="164"/>
      <c r="K5" s="165"/>
      <c r="L5" s="164"/>
      <c r="M5" s="164"/>
      <c r="N5" s="115"/>
    </row>
    <row r="6" spans="1:15" ht="45" thickBot="1" x14ac:dyDescent="0.6">
      <c r="A6" s="115"/>
      <c r="B6" s="115"/>
      <c r="C6" s="115"/>
      <c r="D6" s="115"/>
      <c r="E6" s="115"/>
      <c r="F6" s="115"/>
      <c r="G6" s="115"/>
      <c r="H6" s="166"/>
      <c r="I6" s="167"/>
      <c r="J6" s="167"/>
      <c r="K6" s="168"/>
      <c r="L6" s="167"/>
      <c r="M6" s="167"/>
      <c r="N6" s="115"/>
    </row>
    <row r="7" spans="1:15" ht="44.25" x14ac:dyDescent="0.55000000000000004">
      <c r="A7" s="358" t="s">
        <v>55</v>
      </c>
      <c r="B7" s="361" t="s">
        <v>0</v>
      </c>
      <c r="C7" s="362"/>
      <c r="D7" s="362"/>
      <c r="E7" s="362"/>
      <c r="F7" s="362"/>
      <c r="G7" s="363"/>
      <c r="H7" s="391" t="s">
        <v>112</v>
      </c>
      <c r="I7" s="349" t="s">
        <v>52</v>
      </c>
      <c r="J7" s="355" t="s">
        <v>114</v>
      </c>
      <c r="K7" s="352" t="s">
        <v>82</v>
      </c>
      <c r="L7" s="385" t="s">
        <v>117</v>
      </c>
      <c r="M7" s="349" t="s">
        <v>54</v>
      </c>
      <c r="N7" s="115"/>
    </row>
    <row r="8" spans="1:15" ht="44.25" x14ac:dyDescent="0.55000000000000004">
      <c r="A8" s="359"/>
      <c r="B8" s="364"/>
      <c r="C8" s="365"/>
      <c r="D8" s="365"/>
      <c r="E8" s="365"/>
      <c r="F8" s="365"/>
      <c r="G8" s="366"/>
      <c r="H8" s="392"/>
      <c r="I8" s="350"/>
      <c r="J8" s="356"/>
      <c r="K8" s="353"/>
      <c r="L8" s="386"/>
      <c r="M8" s="350"/>
      <c r="N8" s="115"/>
    </row>
    <row r="9" spans="1:15" ht="44.25" x14ac:dyDescent="0.55000000000000004">
      <c r="A9" s="359"/>
      <c r="B9" s="364"/>
      <c r="C9" s="365"/>
      <c r="D9" s="365"/>
      <c r="E9" s="365"/>
      <c r="F9" s="365"/>
      <c r="G9" s="366"/>
      <c r="H9" s="392"/>
      <c r="I9" s="350"/>
      <c r="J9" s="356"/>
      <c r="K9" s="353"/>
      <c r="L9" s="386"/>
      <c r="M9" s="350"/>
      <c r="N9" s="115"/>
    </row>
    <row r="10" spans="1:15" ht="45" thickBot="1" x14ac:dyDescent="0.6">
      <c r="A10" s="360"/>
      <c r="B10" s="367"/>
      <c r="C10" s="368"/>
      <c r="D10" s="368"/>
      <c r="E10" s="368"/>
      <c r="F10" s="368"/>
      <c r="G10" s="369"/>
      <c r="H10" s="393"/>
      <c r="I10" s="351"/>
      <c r="J10" s="357"/>
      <c r="K10" s="354"/>
      <c r="L10" s="387"/>
      <c r="M10" s="351"/>
      <c r="N10" s="115"/>
    </row>
    <row r="11" spans="1:15" ht="45.75" thickBot="1" x14ac:dyDescent="0.65">
      <c r="A11" s="155" t="s">
        <v>8</v>
      </c>
      <c r="B11" s="379" t="s">
        <v>1</v>
      </c>
      <c r="C11" s="380"/>
      <c r="D11" s="380"/>
      <c r="E11" s="380"/>
      <c r="F11" s="380"/>
      <c r="G11" s="381"/>
      <c r="H11" s="159">
        <f>H13+H15+H20+H21</f>
        <v>124328.40000000001</v>
      </c>
      <c r="I11" s="159">
        <f>I13+I15+I20+I21</f>
        <v>130105.31057</v>
      </c>
      <c r="J11" s="160">
        <f>J13+J15+J20+J21</f>
        <v>111002.28522000001</v>
      </c>
      <c r="K11" s="159">
        <f>K13+K15+K20+K21</f>
        <v>121730.35303200001</v>
      </c>
      <c r="L11" s="159">
        <f>L13+L15+L20+L21</f>
        <v>139813.820844</v>
      </c>
      <c r="M11" s="159">
        <f>L11-H11</f>
        <v>15485.420843999993</v>
      </c>
      <c r="N11" s="115"/>
    </row>
    <row r="12" spans="1:15" ht="45" x14ac:dyDescent="0.6">
      <c r="A12" s="154"/>
      <c r="B12" s="118" t="s">
        <v>48</v>
      </c>
      <c r="C12" s="156"/>
      <c r="D12" s="156"/>
      <c r="E12" s="156"/>
      <c r="F12" s="156"/>
      <c r="G12" s="157"/>
      <c r="H12" s="158"/>
      <c r="I12" s="161"/>
      <c r="J12" s="153"/>
      <c r="K12" s="158"/>
      <c r="L12" s="158"/>
      <c r="M12" s="162"/>
      <c r="N12" s="115"/>
    </row>
    <row r="13" spans="1:15" ht="45" x14ac:dyDescent="0.6">
      <c r="A13" s="120" t="s">
        <v>18</v>
      </c>
      <c r="B13" s="307" t="s">
        <v>22</v>
      </c>
      <c r="C13" s="308"/>
      <c r="D13" s="308"/>
      <c r="E13" s="308"/>
      <c r="F13" s="308"/>
      <c r="G13" s="309"/>
      <c r="H13" s="132">
        <v>112250.6</v>
      </c>
      <c r="I13" s="132">
        <v>115093.79764</v>
      </c>
      <c r="J13" s="141">
        <v>94852.384990000006</v>
      </c>
      <c r="K13" s="132">
        <v>104059.08499</v>
      </c>
      <c r="L13" s="132">
        <v>120607.88499000001</v>
      </c>
      <c r="M13" s="132">
        <f>L13-H13</f>
        <v>8357.2849900000001</v>
      </c>
      <c r="N13" s="115" t="s">
        <v>87</v>
      </c>
      <c r="O13" s="129"/>
    </row>
    <row r="14" spans="1:15" ht="45" x14ac:dyDescent="0.6">
      <c r="A14" s="120"/>
      <c r="B14" s="343" t="s">
        <v>70</v>
      </c>
      <c r="C14" s="344"/>
      <c r="D14" s="344"/>
      <c r="E14" s="344"/>
      <c r="F14" s="344"/>
      <c r="G14" s="345"/>
      <c r="H14" s="134">
        <v>1186.9000000000001</v>
      </c>
      <c r="I14" s="134">
        <f>H14</f>
        <v>1186.9000000000001</v>
      </c>
      <c r="J14" s="142">
        <v>967.13789999999995</v>
      </c>
      <c r="K14" s="181">
        <v>1064.4378999999999</v>
      </c>
      <c r="L14" s="181">
        <v>1239.4378999999999</v>
      </c>
      <c r="M14" s="135">
        <f>L14-H14</f>
        <v>52.537899999999809</v>
      </c>
      <c r="N14" s="115"/>
    </row>
    <row r="15" spans="1:15" ht="45" x14ac:dyDescent="0.6">
      <c r="A15" s="126" t="s">
        <v>19</v>
      </c>
      <c r="B15" s="307" t="s">
        <v>23</v>
      </c>
      <c r="C15" s="308"/>
      <c r="D15" s="308"/>
      <c r="E15" s="308"/>
      <c r="F15" s="308"/>
      <c r="G15" s="309"/>
      <c r="H15" s="132">
        <f>H17+H18+H16+H19</f>
        <v>10470.1</v>
      </c>
      <c r="I15" s="132">
        <f t="shared" ref="I15:M15" si="0">I17+I18+I16+I19</f>
        <v>13403.81293</v>
      </c>
      <c r="J15" s="132">
        <f t="shared" si="0"/>
        <v>15154.130190000002</v>
      </c>
      <c r="K15" s="132">
        <f t="shared" si="0"/>
        <v>16538.198002000001</v>
      </c>
      <c r="L15" s="132">
        <f t="shared" si="0"/>
        <v>17922.265814000002</v>
      </c>
      <c r="M15" s="132">
        <f t="shared" si="0"/>
        <v>7452.165814</v>
      </c>
      <c r="N15" s="115"/>
    </row>
    <row r="16" spans="1:15" ht="123" customHeight="1" x14ac:dyDescent="0.55000000000000004">
      <c r="A16" s="120" t="s">
        <v>24</v>
      </c>
      <c r="B16" s="394" t="s">
        <v>81</v>
      </c>
      <c r="C16" s="395"/>
      <c r="D16" s="395"/>
      <c r="E16" s="395"/>
      <c r="F16" s="395"/>
      <c r="G16" s="396"/>
      <c r="H16" s="135">
        <v>1705.9</v>
      </c>
      <c r="I16" s="135">
        <f>H16</f>
        <v>1705.9</v>
      </c>
      <c r="J16" s="143">
        <v>1632.3094900000001</v>
      </c>
      <c r="K16" s="135">
        <v>1795.5404390000001</v>
      </c>
      <c r="L16" s="135">
        <v>1958.7713880000001</v>
      </c>
      <c r="M16" s="135">
        <f t="shared" ref="M16:M22" si="1">L16-H16</f>
        <v>252.87138800000002</v>
      </c>
      <c r="N16" s="115"/>
    </row>
    <row r="17" spans="1:21" ht="44.25" x14ac:dyDescent="0.55000000000000004">
      <c r="A17" s="116" t="s">
        <v>25</v>
      </c>
      <c r="B17" s="121" t="s">
        <v>113</v>
      </c>
      <c r="C17" s="122"/>
      <c r="D17" s="122"/>
      <c r="E17" s="122"/>
      <c r="F17" s="124"/>
      <c r="G17" s="123"/>
      <c r="H17" s="135">
        <v>6992</v>
      </c>
      <c r="I17" s="135">
        <v>9925.7129299999997</v>
      </c>
      <c r="J17" s="143">
        <v>12208.368630000001</v>
      </c>
      <c r="K17" s="135">
        <v>13429.205492999999</v>
      </c>
      <c r="L17" s="135">
        <v>14650.042356</v>
      </c>
      <c r="M17" s="135">
        <f t="shared" si="1"/>
        <v>7658.0423559999999</v>
      </c>
      <c r="N17" s="115" t="s">
        <v>115</v>
      </c>
      <c r="O17" s="129"/>
      <c r="T17" s="186">
        <f>J16/10</f>
        <v>163.23094900000001</v>
      </c>
      <c r="U17" s="186">
        <f>T17*12</f>
        <v>1958.7713880000001</v>
      </c>
    </row>
    <row r="18" spans="1:21" ht="44.25" x14ac:dyDescent="0.55000000000000004">
      <c r="A18" s="116" t="s">
        <v>71</v>
      </c>
      <c r="B18" s="116" t="s">
        <v>92</v>
      </c>
      <c r="C18" s="124"/>
      <c r="D18" s="124"/>
      <c r="E18" s="124"/>
      <c r="F18" s="124"/>
      <c r="G18" s="125"/>
      <c r="H18" s="136">
        <v>66.2</v>
      </c>
      <c r="I18" s="135">
        <f t="shared" ref="I18:I19" si="2">H18</f>
        <v>66.2</v>
      </c>
      <c r="J18" s="143">
        <v>1.74183</v>
      </c>
      <c r="K18" s="135">
        <f>J18</f>
        <v>1.74183</v>
      </c>
      <c r="L18" s="137">
        <f>J18</f>
        <v>1.74183</v>
      </c>
      <c r="M18" s="135">
        <f t="shared" si="1"/>
        <v>-64.45817000000001</v>
      </c>
      <c r="N18" s="115"/>
    </row>
    <row r="19" spans="1:21" ht="44.25" x14ac:dyDescent="0.55000000000000004">
      <c r="A19" s="185" t="s">
        <v>100</v>
      </c>
      <c r="B19" s="154" t="s">
        <v>3</v>
      </c>
      <c r="C19" s="183"/>
      <c r="D19" s="183"/>
      <c r="E19" s="183"/>
      <c r="F19" s="183"/>
      <c r="G19" s="184"/>
      <c r="H19" s="136">
        <v>1706</v>
      </c>
      <c r="I19" s="135">
        <f t="shared" si="2"/>
        <v>1706</v>
      </c>
      <c r="J19" s="143">
        <v>1311.7102400000001</v>
      </c>
      <c r="K19" s="135">
        <f>J19</f>
        <v>1311.7102400000001</v>
      </c>
      <c r="L19" s="137">
        <f>K19</f>
        <v>1311.7102400000001</v>
      </c>
      <c r="M19" s="135">
        <f t="shared" si="1"/>
        <v>-394.28975999999989</v>
      </c>
      <c r="N19" s="115"/>
    </row>
    <row r="20" spans="1:21" ht="45" x14ac:dyDescent="0.6">
      <c r="A20" s="119" t="s">
        <v>20</v>
      </c>
      <c r="B20" s="323" t="s">
        <v>42</v>
      </c>
      <c r="C20" s="324"/>
      <c r="D20" s="324"/>
      <c r="E20" s="324"/>
      <c r="F20" s="324"/>
      <c r="G20" s="325"/>
      <c r="H20" s="132">
        <v>1607.7</v>
      </c>
      <c r="I20" s="132">
        <f>H20</f>
        <v>1607.7</v>
      </c>
      <c r="J20" s="141">
        <v>995.76981999999998</v>
      </c>
      <c r="K20" s="132">
        <v>1133.0698199999999</v>
      </c>
      <c r="L20" s="132">
        <v>1283.6698200000001</v>
      </c>
      <c r="M20" s="132">
        <f t="shared" si="1"/>
        <v>-324.03017999999997</v>
      </c>
      <c r="N20" s="115"/>
    </row>
    <row r="21" spans="1:21" ht="80.25" customHeight="1" thickBot="1" x14ac:dyDescent="0.65">
      <c r="A21" s="117" t="s">
        <v>21</v>
      </c>
      <c r="B21" s="397" t="s">
        <v>41</v>
      </c>
      <c r="C21" s="398"/>
      <c r="D21" s="398"/>
      <c r="E21" s="398"/>
      <c r="F21" s="398"/>
      <c r="G21" s="399"/>
      <c r="H21" s="151">
        <v>0</v>
      </c>
      <c r="I21" s="151">
        <v>0</v>
      </c>
      <c r="J21" s="144">
        <v>2.2000000000000001E-4</v>
      </c>
      <c r="K21" s="151">
        <f>J21</f>
        <v>2.2000000000000001E-4</v>
      </c>
      <c r="L21" s="151">
        <f>J21</f>
        <v>2.2000000000000001E-4</v>
      </c>
      <c r="M21" s="151">
        <f t="shared" si="1"/>
        <v>2.2000000000000001E-4</v>
      </c>
      <c r="N21" s="130"/>
    </row>
    <row r="22" spans="1:21" ht="45.75" thickBot="1" x14ac:dyDescent="0.65">
      <c r="A22" s="155" t="s">
        <v>7</v>
      </c>
      <c r="B22" s="379" t="s">
        <v>31</v>
      </c>
      <c r="C22" s="380"/>
      <c r="D22" s="380"/>
      <c r="E22" s="380"/>
      <c r="F22" s="380"/>
      <c r="G22" s="381"/>
      <c r="H22" s="159">
        <f>H24+H29+H34+H39+H40+H41+H30</f>
        <v>23298.400000000001</v>
      </c>
      <c r="I22" s="159">
        <f>I24+I29+I34+I39+I40+I41+I30</f>
        <v>23606.962640000002</v>
      </c>
      <c r="J22" s="160">
        <f>J24+J29+J34+J39+J40+J41+J30</f>
        <v>17878.47525</v>
      </c>
      <c r="K22" s="159">
        <f>K24+K29+K34+K39+K40+K41+K30</f>
        <v>19911.875249999997</v>
      </c>
      <c r="L22" s="159">
        <f>L24+L29+L34+L39+L40+L41+L30</f>
        <v>22729.775249999999</v>
      </c>
      <c r="M22" s="159">
        <f t="shared" si="1"/>
        <v>-568.62475000000268</v>
      </c>
      <c r="N22" s="115"/>
    </row>
    <row r="23" spans="1:21" ht="45" x14ac:dyDescent="0.6">
      <c r="A23" s="154"/>
      <c r="B23" s="118" t="s">
        <v>2</v>
      </c>
      <c r="C23" s="156"/>
      <c r="D23" s="156"/>
      <c r="E23" s="156"/>
      <c r="F23" s="156"/>
      <c r="G23" s="157"/>
      <c r="H23" s="158"/>
      <c r="I23" s="158"/>
      <c r="J23" s="153"/>
      <c r="K23" s="158"/>
      <c r="L23" s="158"/>
      <c r="M23" s="158"/>
      <c r="N23" s="115"/>
    </row>
    <row r="24" spans="1:21" ht="45" x14ac:dyDescent="0.6">
      <c r="A24" s="119" t="s">
        <v>9</v>
      </c>
      <c r="B24" s="307" t="s">
        <v>17</v>
      </c>
      <c r="C24" s="308"/>
      <c r="D24" s="308"/>
      <c r="E24" s="308"/>
      <c r="F24" s="308"/>
      <c r="G24" s="309"/>
      <c r="H24" s="132">
        <f>H25+H26+H28+H27</f>
        <v>9050.7000000000007</v>
      </c>
      <c r="I24" s="132">
        <f>I25+I26+I28+I27</f>
        <v>9050.7000000000007</v>
      </c>
      <c r="J24" s="141">
        <f>J25+J26+J28+J27</f>
        <v>7068.9907400000002</v>
      </c>
      <c r="K24" s="132">
        <f>K25+K26+K28+K27</f>
        <v>7763.9907400000002</v>
      </c>
      <c r="L24" s="132">
        <f>L25+L26+L28+L27</f>
        <v>9281.9907399999993</v>
      </c>
      <c r="M24" s="132">
        <f t="shared" ref="M24:M54" si="3">L24-H24</f>
        <v>231.29073999999855</v>
      </c>
      <c r="N24" s="115"/>
    </row>
    <row r="25" spans="1:21" ht="44.25" x14ac:dyDescent="0.55000000000000004">
      <c r="A25" s="116" t="s">
        <v>27</v>
      </c>
      <c r="B25" s="310" t="s">
        <v>49</v>
      </c>
      <c r="C25" s="311"/>
      <c r="D25" s="311"/>
      <c r="E25" s="311"/>
      <c r="F25" s="311"/>
      <c r="G25" s="312"/>
      <c r="H25" s="135">
        <v>5305</v>
      </c>
      <c r="I25" s="135">
        <f>H25</f>
        <v>5305</v>
      </c>
      <c r="J25" s="143">
        <v>4196.6671900000001</v>
      </c>
      <c r="K25" s="135">
        <v>4636.6671900000001</v>
      </c>
      <c r="L25" s="135">
        <v>5514.6671900000001</v>
      </c>
      <c r="M25" s="135">
        <f t="shared" si="3"/>
        <v>209.66719000000012</v>
      </c>
      <c r="N25" s="115" t="s">
        <v>87</v>
      </c>
      <c r="Q25" s="115"/>
      <c r="R25" s="115"/>
      <c r="S25" s="115"/>
    </row>
    <row r="26" spans="1:21" ht="71.25" customHeight="1" x14ac:dyDescent="0.55000000000000004">
      <c r="A26" s="116" t="s">
        <v>28</v>
      </c>
      <c r="B26" s="394" t="s">
        <v>37</v>
      </c>
      <c r="C26" s="395"/>
      <c r="D26" s="395"/>
      <c r="E26" s="395"/>
      <c r="F26" s="395"/>
      <c r="G26" s="396"/>
      <c r="H26" s="135">
        <v>3744.6</v>
      </c>
      <c r="I26" s="135">
        <f t="shared" ref="I26:I28" si="4">H26</f>
        <v>3744.6</v>
      </c>
      <c r="J26" s="143">
        <v>2665.8535499999998</v>
      </c>
      <c r="K26" s="135">
        <v>2920.8535499999998</v>
      </c>
      <c r="L26" s="135">
        <v>3560.8535499999998</v>
      </c>
      <c r="M26" s="135">
        <f t="shared" si="3"/>
        <v>-183.7464500000001</v>
      </c>
      <c r="N26" s="115" t="s">
        <v>87</v>
      </c>
    </row>
    <row r="27" spans="1:21" ht="44.25" x14ac:dyDescent="0.55000000000000004">
      <c r="A27" s="116" t="s">
        <v>29</v>
      </c>
      <c r="B27" s="394" t="s">
        <v>44</v>
      </c>
      <c r="C27" s="395"/>
      <c r="D27" s="395"/>
      <c r="E27" s="395"/>
      <c r="F27" s="395"/>
      <c r="G27" s="396"/>
      <c r="H27" s="135">
        <v>0.5</v>
      </c>
      <c r="I27" s="135">
        <f t="shared" si="4"/>
        <v>0.5</v>
      </c>
      <c r="J27" s="143">
        <v>205.67</v>
      </c>
      <c r="K27" s="135">
        <f>J27</f>
        <v>205.67</v>
      </c>
      <c r="L27" s="135">
        <f>K27</f>
        <v>205.67</v>
      </c>
      <c r="M27" s="138">
        <f>L27-H27</f>
        <v>205.17</v>
      </c>
      <c r="N27" s="130"/>
    </row>
    <row r="28" spans="1:21" ht="80.25" customHeight="1" x14ac:dyDescent="0.55000000000000004">
      <c r="A28" s="116" t="s">
        <v>45</v>
      </c>
      <c r="B28" s="394" t="s">
        <v>46</v>
      </c>
      <c r="C28" s="395"/>
      <c r="D28" s="395"/>
      <c r="E28" s="395"/>
      <c r="F28" s="395"/>
      <c r="G28" s="396"/>
      <c r="H28" s="135">
        <v>0.6</v>
      </c>
      <c r="I28" s="135">
        <f t="shared" si="4"/>
        <v>0.6</v>
      </c>
      <c r="J28" s="143">
        <v>0.8</v>
      </c>
      <c r="K28" s="135">
        <f>J28</f>
        <v>0.8</v>
      </c>
      <c r="L28" s="135">
        <f>K28</f>
        <v>0.8</v>
      </c>
      <c r="M28" s="138">
        <f t="shared" si="3"/>
        <v>0.20000000000000007</v>
      </c>
      <c r="N28" s="130"/>
    </row>
    <row r="29" spans="1:21" ht="72" customHeight="1" x14ac:dyDescent="0.6">
      <c r="A29" s="126" t="s">
        <v>10</v>
      </c>
      <c r="B29" s="400" t="s">
        <v>30</v>
      </c>
      <c r="C29" s="401"/>
      <c r="D29" s="401"/>
      <c r="E29" s="401"/>
      <c r="F29" s="401"/>
      <c r="G29" s="402"/>
      <c r="H29" s="132">
        <v>72.400000000000006</v>
      </c>
      <c r="I29" s="132">
        <f>H29</f>
        <v>72.400000000000006</v>
      </c>
      <c r="J29" s="141">
        <v>54.475160000000002</v>
      </c>
      <c r="K29" s="132">
        <v>55.675159999999998</v>
      </c>
      <c r="L29" s="132">
        <v>56.875160000000001</v>
      </c>
      <c r="M29" s="133">
        <f t="shared" si="3"/>
        <v>-15.524840000000005</v>
      </c>
      <c r="N29" s="130"/>
    </row>
    <row r="30" spans="1:21" ht="84" customHeight="1" x14ac:dyDescent="0.6">
      <c r="A30" s="126" t="s">
        <v>11</v>
      </c>
      <c r="B30" s="400" t="s">
        <v>72</v>
      </c>
      <c r="C30" s="401"/>
      <c r="D30" s="401"/>
      <c r="E30" s="401"/>
      <c r="F30" s="401"/>
      <c r="G30" s="402"/>
      <c r="H30" s="132">
        <f>H31+H32+H33</f>
        <v>12988.6</v>
      </c>
      <c r="I30" s="132">
        <f>I31+I32+I33</f>
        <v>13263.06264</v>
      </c>
      <c r="J30" s="141">
        <f>J31+J32+J33</f>
        <v>9035.3397999999997</v>
      </c>
      <c r="K30" s="132">
        <f>K31+K32+K33</f>
        <v>10292.239800000001</v>
      </c>
      <c r="L30" s="132">
        <f>L31+L32+L33</f>
        <v>11480.8398</v>
      </c>
      <c r="M30" s="133">
        <f t="shared" si="3"/>
        <v>-1507.7602000000006</v>
      </c>
      <c r="N30" s="115"/>
    </row>
    <row r="31" spans="1:21" ht="44.25" x14ac:dyDescent="0.55000000000000004">
      <c r="A31" s="120" t="s">
        <v>33</v>
      </c>
      <c r="B31" s="310" t="s">
        <v>73</v>
      </c>
      <c r="C31" s="311"/>
      <c r="D31" s="311"/>
      <c r="E31" s="311"/>
      <c r="F31" s="311"/>
      <c r="G31" s="312"/>
      <c r="H31" s="171">
        <v>12785.2</v>
      </c>
      <c r="I31" s="136">
        <f>H31</f>
        <v>12785.2</v>
      </c>
      <c r="J31" s="143">
        <v>8404.9297399999996</v>
      </c>
      <c r="K31" s="135">
        <v>9653.7297400000007</v>
      </c>
      <c r="L31" s="135">
        <v>10822.42974</v>
      </c>
      <c r="M31" s="138">
        <f t="shared" si="3"/>
        <v>-1962.7702600000011</v>
      </c>
      <c r="N31" s="115" t="s">
        <v>87</v>
      </c>
    </row>
    <row r="32" spans="1:21" ht="143.25" customHeight="1" x14ac:dyDescent="0.55000000000000004">
      <c r="A32" s="120" t="s">
        <v>34</v>
      </c>
      <c r="B32" s="310" t="s">
        <v>76</v>
      </c>
      <c r="C32" s="311"/>
      <c r="D32" s="311"/>
      <c r="E32" s="311"/>
      <c r="F32" s="311"/>
      <c r="G32" s="312"/>
      <c r="H32" s="170">
        <v>203.4</v>
      </c>
      <c r="I32" s="136">
        <f>H32</f>
        <v>203.4</v>
      </c>
      <c r="J32" s="143">
        <v>151.38942</v>
      </c>
      <c r="K32" s="135">
        <v>159.48942</v>
      </c>
      <c r="L32" s="135">
        <v>179.38942</v>
      </c>
      <c r="M32" s="138">
        <f t="shared" si="3"/>
        <v>-24.010580000000004</v>
      </c>
      <c r="N32" s="115" t="s">
        <v>87</v>
      </c>
    </row>
    <row r="33" spans="1:24" ht="85.5" customHeight="1" x14ac:dyDescent="0.55000000000000004">
      <c r="A33" s="120" t="s">
        <v>77</v>
      </c>
      <c r="B33" s="310" t="s">
        <v>75</v>
      </c>
      <c r="C33" s="311"/>
      <c r="D33" s="311"/>
      <c r="E33" s="311"/>
      <c r="F33" s="311"/>
      <c r="G33" s="312"/>
      <c r="H33" s="137">
        <v>0</v>
      </c>
      <c r="I33" s="135">
        <v>274.46264000000002</v>
      </c>
      <c r="J33" s="143">
        <v>479.02064000000001</v>
      </c>
      <c r="K33" s="135">
        <f>J33</f>
        <v>479.02064000000001</v>
      </c>
      <c r="L33" s="135">
        <f>K33</f>
        <v>479.02064000000001</v>
      </c>
      <c r="M33" s="138">
        <f t="shared" si="3"/>
        <v>479.02064000000001</v>
      </c>
      <c r="N33" s="115" t="s">
        <v>87</v>
      </c>
    </row>
    <row r="34" spans="1:24" ht="147.75" customHeight="1" x14ac:dyDescent="0.6">
      <c r="A34" s="119" t="s">
        <v>11</v>
      </c>
      <c r="B34" s="307" t="s">
        <v>36</v>
      </c>
      <c r="C34" s="308"/>
      <c r="D34" s="308"/>
      <c r="E34" s="308"/>
      <c r="F34" s="308"/>
      <c r="G34" s="309"/>
      <c r="H34" s="132">
        <f>H35+H36+H37</f>
        <v>1090</v>
      </c>
      <c r="I34" s="132">
        <f>I35+I36+I37</f>
        <v>1090</v>
      </c>
      <c r="J34" s="141">
        <f>J35+J36+J37+J38</f>
        <v>1111.567</v>
      </c>
      <c r="K34" s="132">
        <f>K35+K36+K37</f>
        <v>1191.567</v>
      </c>
      <c r="L34" s="132">
        <f>L35+L36+L37</f>
        <v>1291.567</v>
      </c>
      <c r="M34" s="133">
        <f t="shared" si="3"/>
        <v>201.56700000000001</v>
      </c>
      <c r="N34" s="115"/>
    </row>
    <row r="35" spans="1:24" ht="179.25" customHeight="1" x14ac:dyDescent="0.55000000000000004">
      <c r="A35" s="116" t="s">
        <v>33</v>
      </c>
      <c r="B35" s="310" t="s">
        <v>103</v>
      </c>
      <c r="C35" s="311"/>
      <c r="D35" s="311"/>
      <c r="E35" s="311"/>
      <c r="F35" s="311"/>
      <c r="G35" s="312"/>
      <c r="H35" s="135">
        <v>80</v>
      </c>
      <c r="I35" s="135">
        <f>H35</f>
        <v>80</v>
      </c>
      <c r="J35" s="143">
        <v>577.67989999999998</v>
      </c>
      <c r="K35" s="135">
        <f t="shared" ref="K35:K40" si="5">J35</f>
        <v>577.67989999999998</v>
      </c>
      <c r="L35" s="135">
        <f>K35</f>
        <v>577.67989999999998</v>
      </c>
      <c r="M35" s="138">
        <f t="shared" si="3"/>
        <v>497.67989999999998</v>
      </c>
      <c r="N35" s="115" t="s">
        <v>102</v>
      </c>
      <c r="S35" s="115" t="s">
        <v>116</v>
      </c>
    </row>
    <row r="36" spans="1:24" ht="123" customHeight="1" x14ac:dyDescent="0.55000000000000004">
      <c r="A36" s="116" t="s">
        <v>34</v>
      </c>
      <c r="B36" s="310" t="s">
        <v>35</v>
      </c>
      <c r="C36" s="311"/>
      <c r="D36" s="311"/>
      <c r="E36" s="311"/>
      <c r="F36" s="311"/>
      <c r="G36" s="312"/>
      <c r="H36" s="135">
        <v>900</v>
      </c>
      <c r="I36" s="135">
        <f t="shared" ref="I36:I37" si="6">H36</f>
        <v>900</v>
      </c>
      <c r="J36" s="143">
        <v>337.49027999999998</v>
      </c>
      <c r="K36" s="135">
        <v>412.49027999999998</v>
      </c>
      <c r="L36" s="135">
        <v>497.49027999999998</v>
      </c>
      <c r="M36" s="138">
        <f t="shared" si="3"/>
        <v>-402.50972000000002</v>
      </c>
      <c r="N36" s="115" t="s">
        <v>87</v>
      </c>
    </row>
    <row r="37" spans="1:24" ht="128.25" customHeight="1" x14ac:dyDescent="0.55000000000000004">
      <c r="A37" s="116" t="s">
        <v>77</v>
      </c>
      <c r="B37" s="310" t="s">
        <v>79</v>
      </c>
      <c r="C37" s="311"/>
      <c r="D37" s="311"/>
      <c r="E37" s="311"/>
      <c r="F37" s="311"/>
      <c r="G37" s="312"/>
      <c r="H37" s="135">
        <v>110</v>
      </c>
      <c r="I37" s="135">
        <f t="shared" si="6"/>
        <v>110</v>
      </c>
      <c r="J37" s="143">
        <v>196.39681999999999</v>
      </c>
      <c r="K37" s="135">
        <v>201.39681999999999</v>
      </c>
      <c r="L37" s="135">
        <v>216.39681999999999</v>
      </c>
      <c r="M37" s="138">
        <f t="shared" si="3"/>
        <v>106.39681999999999</v>
      </c>
      <c r="N37" s="115" t="s">
        <v>87</v>
      </c>
      <c r="R37" s="115"/>
    </row>
    <row r="38" spans="1:24" ht="135" customHeight="1" x14ac:dyDescent="0.55000000000000004">
      <c r="A38" s="116" t="s">
        <v>104</v>
      </c>
      <c r="B38" s="310" t="s">
        <v>105</v>
      </c>
      <c r="C38" s="311"/>
      <c r="D38" s="311"/>
      <c r="E38" s="311"/>
      <c r="F38" s="311"/>
      <c r="G38" s="312"/>
      <c r="H38" s="135">
        <v>0</v>
      </c>
      <c r="I38" s="135">
        <v>0</v>
      </c>
      <c r="J38" s="143">
        <v>0</v>
      </c>
      <c r="K38" s="135">
        <f>J38</f>
        <v>0</v>
      </c>
      <c r="L38" s="135">
        <f>J38</f>
        <v>0</v>
      </c>
      <c r="M38" s="138"/>
      <c r="N38" s="115"/>
    </row>
    <row r="39" spans="1:24" ht="45" x14ac:dyDescent="0.6">
      <c r="A39" s="119" t="s">
        <v>12</v>
      </c>
      <c r="B39" s="313" t="s">
        <v>6</v>
      </c>
      <c r="C39" s="314"/>
      <c r="D39" s="314"/>
      <c r="E39" s="314"/>
      <c r="F39" s="314"/>
      <c r="G39" s="315"/>
      <c r="H39" s="132">
        <v>96.7</v>
      </c>
      <c r="I39" s="132">
        <f>H39</f>
        <v>96.7</v>
      </c>
      <c r="J39" s="141">
        <v>499.28600999999998</v>
      </c>
      <c r="K39" s="132">
        <v>502.08600999999999</v>
      </c>
      <c r="L39" s="132">
        <v>512.18601000000001</v>
      </c>
      <c r="M39" s="133">
        <f t="shared" si="3"/>
        <v>415.48601000000002</v>
      </c>
      <c r="N39" s="115" t="s">
        <v>110</v>
      </c>
    </row>
    <row r="40" spans="1:24" ht="52.5" customHeight="1" x14ac:dyDescent="0.6">
      <c r="A40" s="119" t="s">
        <v>13</v>
      </c>
      <c r="B40" s="307" t="s">
        <v>16</v>
      </c>
      <c r="C40" s="308"/>
      <c r="D40" s="308"/>
      <c r="E40" s="308"/>
      <c r="F40" s="308"/>
      <c r="G40" s="309"/>
      <c r="H40" s="132">
        <v>0</v>
      </c>
      <c r="I40" s="132">
        <v>34.1</v>
      </c>
      <c r="J40" s="141">
        <v>106.31654</v>
      </c>
      <c r="K40" s="132">
        <f t="shared" si="5"/>
        <v>106.31654</v>
      </c>
      <c r="L40" s="132">
        <f>J40</f>
        <v>106.31654</v>
      </c>
      <c r="M40" s="133">
        <f t="shared" si="3"/>
        <v>106.31654</v>
      </c>
      <c r="N40" s="115"/>
    </row>
    <row r="41" spans="1:24" ht="45" x14ac:dyDescent="0.6">
      <c r="A41" s="119" t="s">
        <v>14</v>
      </c>
      <c r="B41" s="316" t="s">
        <v>15</v>
      </c>
      <c r="C41" s="317"/>
      <c r="D41" s="317"/>
      <c r="E41" s="317"/>
      <c r="F41" s="317"/>
      <c r="G41" s="318"/>
      <c r="H41" s="132">
        <v>0</v>
      </c>
      <c r="I41" s="132">
        <v>0</v>
      </c>
      <c r="J41" s="141">
        <v>2.5</v>
      </c>
      <c r="K41" s="132">
        <v>0</v>
      </c>
      <c r="L41" s="132">
        <v>0</v>
      </c>
      <c r="M41" s="133">
        <f t="shared" si="3"/>
        <v>0</v>
      </c>
      <c r="N41" s="130"/>
    </row>
    <row r="42" spans="1:24" ht="45" x14ac:dyDescent="0.6">
      <c r="A42" s="150" t="s">
        <v>40</v>
      </c>
      <c r="B42" s="319" t="s">
        <v>38</v>
      </c>
      <c r="C42" s="320"/>
      <c r="D42" s="320"/>
      <c r="E42" s="320"/>
      <c r="F42" s="320"/>
      <c r="G42" s="321"/>
      <c r="H42" s="151"/>
      <c r="I42" s="151">
        <f>I43</f>
        <v>0</v>
      </c>
      <c r="J42" s="151">
        <f>J43</f>
        <v>0</v>
      </c>
      <c r="K42" s="151">
        <f>K43</f>
        <v>0</v>
      </c>
      <c r="L42" s="151"/>
      <c r="M42" s="132">
        <f t="shared" si="3"/>
        <v>0</v>
      </c>
      <c r="N42" s="152"/>
      <c r="O42" s="129"/>
      <c r="P42" s="129"/>
      <c r="Q42" s="129"/>
      <c r="R42" s="129"/>
      <c r="S42" s="129"/>
      <c r="T42" s="129"/>
      <c r="U42" s="129"/>
      <c r="V42" s="129"/>
      <c r="W42" s="129"/>
      <c r="X42" s="129"/>
    </row>
    <row r="43" spans="1:24" ht="134.25" customHeight="1" thickBot="1" x14ac:dyDescent="0.65">
      <c r="A43" s="172" t="s">
        <v>47</v>
      </c>
      <c r="B43" s="370" t="s">
        <v>39</v>
      </c>
      <c r="C43" s="371"/>
      <c r="D43" s="371"/>
      <c r="E43" s="371"/>
      <c r="F43" s="371"/>
      <c r="G43" s="372"/>
      <c r="H43" s="139">
        <v>0</v>
      </c>
      <c r="I43" s="139"/>
      <c r="J43" s="145"/>
      <c r="K43" s="140"/>
      <c r="L43" s="139">
        <v>0</v>
      </c>
      <c r="M43" s="173">
        <f t="shared" si="3"/>
        <v>0</v>
      </c>
      <c r="N43" s="115"/>
    </row>
    <row r="44" spans="1:24" ht="45.75" thickBot="1" x14ac:dyDescent="0.65">
      <c r="A44" s="178"/>
      <c r="B44" s="346" t="s">
        <v>32</v>
      </c>
      <c r="C44" s="347"/>
      <c r="D44" s="347"/>
      <c r="E44" s="347"/>
      <c r="F44" s="347"/>
      <c r="G44" s="348"/>
      <c r="H44" s="179">
        <f>H11+H22+H42-0.01</f>
        <v>147626.79</v>
      </c>
      <c r="I44" s="179">
        <f>I11+I22+I42-0.1</f>
        <v>153712.17321000001</v>
      </c>
      <c r="J44" s="179">
        <f>J11+J22+J42</f>
        <v>128880.76047000001</v>
      </c>
      <c r="K44" s="179">
        <f>K11+K22+K42</f>
        <v>141642.228282</v>
      </c>
      <c r="L44" s="179">
        <f>L11+L22+L43</f>
        <v>162543.59609400001</v>
      </c>
      <c r="M44" s="179">
        <f t="shared" si="3"/>
        <v>14916.806094</v>
      </c>
      <c r="N44" s="131"/>
    </row>
    <row r="45" spans="1:24" ht="45.75" thickBot="1" x14ac:dyDescent="0.65">
      <c r="A45" s="175" t="s">
        <v>40</v>
      </c>
      <c r="B45" s="379" t="s">
        <v>56</v>
      </c>
      <c r="C45" s="380"/>
      <c r="D45" s="380"/>
      <c r="E45" s="380"/>
      <c r="F45" s="380"/>
      <c r="G45" s="381"/>
      <c r="H45" s="159">
        <f>H46+H53+H51+H52</f>
        <v>639688.5</v>
      </c>
      <c r="I45" s="159">
        <f t="shared" ref="I45" si="7">I46+I53+I51+I52</f>
        <v>670755.90457999997</v>
      </c>
      <c r="J45" s="159">
        <f>J46+J53+J51+J52</f>
        <v>533463.60358</v>
      </c>
      <c r="K45" s="159">
        <f t="shared" ref="K45:M45" si="8">K46+K53+K51+K52</f>
        <v>533463.60358</v>
      </c>
      <c r="L45" s="159">
        <f t="shared" si="8"/>
        <v>670755.90457999997</v>
      </c>
      <c r="M45" s="159">
        <f t="shared" si="8"/>
        <v>31067.404579999984</v>
      </c>
      <c r="N45" s="115"/>
    </row>
    <row r="46" spans="1:24" ht="45" x14ac:dyDescent="0.6">
      <c r="A46" s="174" t="s">
        <v>47</v>
      </c>
      <c r="B46" s="373" t="s">
        <v>65</v>
      </c>
      <c r="C46" s="374"/>
      <c r="D46" s="374"/>
      <c r="E46" s="374"/>
      <c r="F46" s="374"/>
      <c r="G46" s="375"/>
      <c r="H46" s="158">
        <f>SUM(H47:H50)</f>
        <v>639688.5</v>
      </c>
      <c r="I46" s="158">
        <f>SUM(I47:I50)</f>
        <v>672099.01387999998</v>
      </c>
      <c r="J46" s="153">
        <f>SUM(J47:J50)</f>
        <v>534806.71288000001</v>
      </c>
      <c r="K46" s="158">
        <f>SUM(K47:K50)</f>
        <v>534806.71288000001</v>
      </c>
      <c r="L46" s="158">
        <f>SUM(L47:L50)</f>
        <v>672099.01387999998</v>
      </c>
      <c r="M46" s="158">
        <f>L46-H46</f>
        <v>32410.513879999984</v>
      </c>
      <c r="N46" s="115"/>
    </row>
    <row r="47" spans="1:24" ht="44.25" x14ac:dyDescent="0.55000000000000004">
      <c r="A47" s="128" t="s">
        <v>66</v>
      </c>
      <c r="B47" s="301" t="s">
        <v>57</v>
      </c>
      <c r="C47" s="302"/>
      <c r="D47" s="302"/>
      <c r="E47" s="302"/>
      <c r="F47" s="302"/>
      <c r="G47" s="303"/>
      <c r="H47" s="180">
        <v>220600.4</v>
      </c>
      <c r="I47" s="135">
        <v>220600.4</v>
      </c>
      <c r="J47" s="143">
        <v>202792.785</v>
      </c>
      <c r="K47" s="135">
        <f>J47</f>
        <v>202792.785</v>
      </c>
      <c r="L47" s="135">
        <f>I47</f>
        <v>220600.4</v>
      </c>
      <c r="M47" s="135">
        <f>L47-H47</f>
        <v>0</v>
      </c>
      <c r="N47" s="115"/>
    </row>
    <row r="48" spans="1:24" ht="44.25" x14ac:dyDescent="0.55000000000000004">
      <c r="A48" s="128" t="s">
        <v>67</v>
      </c>
      <c r="B48" s="301" t="s">
        <v>59</v>
      </c>
      <c r="C48" s="302"/>
      <c r="D48" s="302"/>
      <c r="E48" s="302"/>
      <c r="F48" s="302"/>
      <c r="G48" s="303"/>
      <c r="H48" s="180">
        <v>128113</v>
      </c>
      <c r="I48" s="135">
        <v>158797.76783</v>
      </c>
      <c r="J48" s="143">
        <v>77990.539350000006</v>
      </c>
      <c r="K48" s="135">
        <f t="shared" ref="K48:K53" si="9">J48</f>
        <v>77990.539350000006</v>
      </c>
      <c r="L48" s="135">
        <f>I48</f>
        <v>158797.76783</v>
      </c>
      <c r="M48" s="135">
        <f>L48-H48</f>
        <v>30684.767829999997</v>
      </c>
      <c r="N48" s="115"/>
    </row>
    <row r="49" spans="1:14" ht="44.25" x14ac:dyDescent="0.55000000000000004">
      <c r="A49" s="128" t="s">
        <v>68</v>
      </c>
      <c r="B49" s="301" t="s">
        <v>60</v>
      </c>
      <c r="C49" s="302"/>
      <c r="D49" s="302"/>
      <c r="E49" s="302"/>
      <c r="F49" s="302"/>
      <c r="G49" s="303"/>
      <c r="H49" s="180">
        <v>288760.90000000002</v>
      </c>
      <c r="I49" s="135">
        <v>287194.68546000001</v>
      </c>
      <c r="J49" s="143">
        <v>250069.96653999999</v>
      </c>
      <c r="K49" s="135">
        <f t="shared" si="9"/>
        <v>250069.96653999999</v>
      </c>
      <c r="L49" s="135">
        <f>I49</f>
        <v>287194.68546000001</v>
      </c>
      <c r="M49" s="135">
        <f t="shared" si="3"/>
        <v>-1566.2145400000154</v>
      </c>
      <c r="N49" s="115"/>
    </row>
    <row r="50" spans="1:14" ht="44.25" x14ac:dyDescent="0.55000000000000004">
      <c r="A50" s="128" t="s">
        <v>69</v>
      </c>
      <c r="B50" s="301" t="s">
        <v>62</v>
      </c>
      <c r="C50" s="302"/>
      <c r="D50" s="302"/>
      <c r="E50" s="302"/>
      <c r="F50" s="302"/>
      <c r="G50" s="303"/>
      <c r="H50" s="180">
        <v>2214.1999999999998</v>
      </c>
      <c r="I50" s="135">
        <v>5506.1605900000004</v>
      </c>
      <c r="J50" s="143">
        <v>3953.4219899999998</v>
      </c>
      <c r="K50" s="135">
        <v>3953.4219899999998</v>
      </c>
      <c r="L50" s="135">
        <f>I50</f>
        <v>5506.1605900000004</v>
      </c>
      <c r="M50" s="135">
        <f t="shared" si="3"/>
        <v>3291.9605900000006</v>
      </c>
      <c r="N50" s="115"/>
    </row>
    <row r="51" spans="1:14" ht="44.25" x14ac:dyDescent="0.55000000000000004">
      <c r="A51" s="128" t="s">
        <v>58</v>
      </c>
      <c r="B51" s="301" t="s">
        <v>83</v>
      </c>
      <c r="C51" s="302"/>
      <c r="D51" s="302"/>
      <c r="E51" s="302"/>
      <c r="F51" s="302"/>
      <c r="G51" s="303"/>
      <c r="H51" s="135">
        <v>0</v>
      </c>
      <c r="I51" s="135">
        <v>0</v>
      </c>
      <c r="J51" s="143">
        <v>0</v>
      </c>
      <c r="K51" s="135">
        <f t="shared" si="9"/>
        <v>0</v>
      </c>
      <c r="L51" s="135">
        <f>J51</f>
        <v>0</v>
      </c>
      <c r="M51" s="135">
        <f t="shared" si="3"/>
        <v>0</v>
      </c>
      <c r="N51" s="115"/>
    </row>
    <row r="52" spans="1:14" ht="44.25" x14ac:dyDescent="0.55000000000000004">
      <c r="A52" s="128" t="s">
        <v>61</v>
      </c>
      <c r="B52" s="301" t="s">
        <v>74</v>
      </c>
      <c r="C52" s="302"/>
      <c r="D52" s="302"/>
      <c r="E52" s="302"/>
      <c r="F52" s="302"/>
      <c r="G52" s="303"/>
      <c r="H52" s="135">
        <v>0</v>
      </c>
      <c r="I52" s="135">
        <v>247</v>
      </c>
      <c r="J52" s="143">
        <v>247</v>
      </c>
      <c r="K52" s="135">
        <f t="shared" si="9"/>
        <v>247</v>
      </c>
      <c r="L52" s="135">
        <f>J52</f>
        <v>247</v>
      </c>
      <c r="M52" s="135">
        <f t="shared" si="3"/>
        <v>247</v>
      </c>
    </row>
    <row r="53" spans="1:14" ht="45" thickBot="1" x14ac:dyDescent="0.6">
      <c r="A53" s="176" t="s">
        <v>84</v>
      </c>
      <c r="B53" s="376" t="s">
        <v>78</v>
      </c>
      <c r="C53" s="377"/>
      <c r="D53" s="377"/>
      <c r="E53" s="377"/>
      <c r="F53" s="377"/>
      <c r="G53" s="378"/>
      <c r="H53" s="177">
        <v>0</v>
      </c>
      <c r="I53" s="177">
        <v>-1590.1093000000001</v>
      </c>
      <c r="J53" s="145">
        <v>-1590.1093000000001</v>
      </c>
      <c r="K53" s="177">
        <f t="shared" si="9"/>
        <v>-1590.1093000000001</v>
      </c>
      <c r="L53" s="177">
        <f>J53</f>
        <v>-1590.1093000000001</v>
      </c>
      <c r="M53" s="177">
        <f t="shared" si="3"/>
        <v>-1590.1093000000001</v>
      </c>
    </row>
    <row r="54" spans="1:14" ht="45.75" thickBot="1" x14ac:dyDescent="0.65">
      <c r="A54" s="178" t="s">
        <v>63</v>
      </c>
      <c r="B54" s="346" t="s">
        <v>64</v>
      </c>
      <c r="C54" s="347"/>
      <c r="D54" s="347"/>
      <c r="E54" s="347"/>
      <c r="F54" s="347"/>
      <c r="G54" s="348"/>
      <c r="H54" s="179">
        <f>H44+H45</f>
        <v>787315.29</v>
      </c>
      <c r="I54" s="179">
        <f>I44+I45</f>
        <v>824468.07779000001</v>
      </c>
      <c r="J54" s="179">
        <f>J44+J45</f>
        <v>662344.36404999997</v>
      </c>
      <c r="K54" s="179">
        <f>K44+K45</f>
        <v>675105.83186200005</v>
      </c>
      <c r="L54" s="179">
        <f>L44+L45</f>
        <v>833299.50067400001</v>
      </c>
      <c r="M54" s="179">
        <f t="shared" si="3"/>
        <v>45984.210673999973</v>
      </c>
    </row>
    <row r="55" spans="1:14" ht="45" x14ac:dyDescent="0.6">
      <c r="A55" s="182"/>
      <c r="B55" s="299"/>
      <c r="C55" s="299"/>
      <c r="D55" s="299"/>
      <c r="E55" s="299"/>
      <c r="F55" s="299"/>
      <c r="G55" s="299"/>
      <c r="H55" s="299"/>
      <c r="I55" s="299"/>
      <c r="J55" s="299"/>
      <c r="K55" s="299"/>
      <c r="L55" s="299"/>
      <c r="M55" s="148"/>
    </row>
    <row r="60" spans="1:14" x14ac:dyDescent="0.2">
      <c r="H60" s="114">
        <v>787315300</v>
      </c>
    </row>
  </sheetData>
  <mergeCells count="50">
    <mergeCell ref="B51:G51"/>
    <mergeCell ref="B52:G52"/>
    <mergeCell ref="B53:G53"/>
    <mergeCell ref="B54:G54"/>
    <mergeCell ref="B55:L55"/>
    <mergeCell ref="B50:G50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38:G38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26:G26"/>
    <mergeCell ref="B11:G11"/>
    <mergeCell ref="B13:G13"/>
    <mergeCell ref="B14:G14"/>
    <mergeCell ref="B15:G15"/>
    <mergeCell ref="B16:G16"/>
    <mergeCell ref="B20:G20"/>
    <mergeCell ref="B21:G21"/>
    <mergeCell ref="B22:G22"/>
    <mergeCell ref="B24:G24"/>
    <mergeCell ref="B25:G25"/>
    <mergeCell ref="A3:M3"/>
    <mergeCell ref="A4:M4"/>
    <mergeCell ref="A7:A10"/>
    <mergeCell ref="B7:G10"/>
    <mergeCell ref="H7:H10"/>
    <mergeCell ref="I7:I10"/>
    <mergeCell ref="J7:J10"/>
    <mergeCell ref="K7:K10"/>
    <mergeCell ref="L7:L10"/>
    <mergeCell ref="M7:M10"/>
  </mergeCells>
  <pageMargins left="0.25" right="0.25" top="0.75" bottom="0.75" header="0.3" footer="0.3"/>
  <pageSetup paperSize="9" scale="27" orientation="landscape" r:id="rId1"/>
  <rowBreaks count="1" manualBreakCount="1">
    <brk id="33" max="12" man="1"/>
  </rowBreaks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view="pageBreakPreview" zoomScale="41" zoomScaleNormal="40" zoomScaleSheetLayoutView="41" workbookViewId="0">
      <selection activeCell="K21" sqref="K21"/>
    </sheetView>
  </sheetViews>
  <sheetFormatPr defaultRowHeight="34.5" x14ac:dyDescent="0.45"/>
  <cols>
    <col min="1" max="1" width="18" style="187" bestFit="1" customWidth="1"/>
    <col min="2" max="2" width="37" style="187" bestFit="1" customWidth="1"/>
    <col min="3" max="3" width="9.140625" style="187"/>
    <col min="4" max="4" width="23" style="187" customWidth="1"/>
    <col min="5" max="5" width="22.140625" style="187" customWidth="1"/>
    <col min="6" max="6" width="20" style="187" customWidth="1"/>
    <col min="7" max="7" width="34.7109375" style="187" customWidth="1"/>
    <col min="8" max="8" width="40.5703125" style="187" customWidth="1"/>
    <col min="9" max="9" width="34.42578125" style="187" customWidth="1"/>
    <col min="10" max="10" width="31.5703125" style="187" customWidth="1"/>
    <col min="11" max="11" width="39.42578125" style="187" customWidth="1"/>
    <col min="12" max="12" width="44.42578125" style="187" customWidth="1"/>
    <col min="13" max="13" width="55.85546875" style="187" customWidth="1"/>
    <col min="14" max="14" width="88" style="187" bestFit="1" customWidth="1"/>
    <col min="15" max="16" width="9.140625" style="187"/>
    <col min="17" max="17" width="42.85546875" style="187" customWidth="1"/>
    <col min="18" max="19" width="9.140625" style="187"/>
    <col min="20" max="20" width="42" style="187" customWidth="1"/>
    <col min="21" max="21" width="68.7109375" style="187" customWidth="1"/>
    <col min="22" max="16384" width="9.140625" style="187"/>
  </cols>
  <sheetData>
    <row r="1" spans="1:15" ht="35.25" x14ac:dyDescent="0.5">
      <c r="A1" s="443" t="s">
        <v>51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</row>
    <row r="2" spans="1:15" ht="36" thickBot="1" x14ac:dyDescent="0.55000000000000004">
      <c r="A2" s="443" t="s">
        <v>118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</row>
    <row r="3" spans="1:15" x14ac:dyDescent="0.45">
      <c r="A3" s="444" t="s">
        <v>55</v>
      </c>
      <c r="B3" s="447" t="s">
        <v>0</v>
      </c>
      <c r="C3" s="448"/>
      <c r="D3" s="448"/>
      <c r="E3" s="448"/>
      <c r="F3" s="448"/>
      <c r="G3" s="449"/>
      <c r="H3" s="456" t="s">
        <v>112</v>
      </c>
      <c r="I3" s="456" t="s">
        <v>52</v>
      </c>
      <c r="J3" s="459" t="s">
        <v>119</v>
      </c>
      <c r="K3" s="462" t="s">
        <v>82</v>
      </c>
      <c r="L3" s="465" t="s">
        <v>120</v>
      </c>
      <c r="M3" s="456" t="s">
        <v>54</v>
      </c>
    </row>
    <row r="4" spans="1:15" x14ac:dyDescent="0.45">
      <c r="A4" s="445"/>
      <c r="B4" s="450"/>
      <c r="C4" s="451"/>
      <c r="D4" s="451"/>
      <c r="E4" s="451"/>
      <c r="F4" s="451"/>
      <c r="G4" s="452"/>
      <c r="H4" s="457"/>
      <c r="I4" s="457"/>
      <c r="J4" s="460"/>
      <c r="K4" s="463"/>
      <c r="L4" s="466"/>
      <c r="M4" s="457"/>
    </row>
    <row r="5" spans="1:15" x14ac:dyDescent="0.45">
      <c r="A5" s="445"/>
      <c r="B5" s="450"/>
      <c r="C5" s="451"/>
      <c r="D5" s="451"/>
      <c r="E5" s="451"/>
      <c r="F5" s="451"/>
      <c r="G5" s="452"/>
      <c r="H5" s="457"/>
      <c r="I5" s="457"/>
      <c r="J5" s="460"/>
      <c r="K5" s="463"/>
      <c r="L5" s="466"/>
      <c r="M5" s="457"/>
    </row>
    <row r="6" spans="1:15" ht="35.25" thickBot="1" x14ac:dyDescent="0.5">
      <c r="A6" s="446"/>
      <c r="B6" s="453"/>
      <c r="C6" s="454"/>
      <c r="D6" s="454"/>
      <c r="E6" s="454"/>
      <c r="F6" s="454"/>
      <c r="G6" s="455"/>
      <c r="H6" s="458"/>
      <c r="I6" s="458"/>
      <c r="J6" s="461"/>
      <c r="K6" s="464"/>
      <c r="L6" s="467"/>
      <c r="M6" s="458"/>
    </row>
    <row r="7" spans="1:15" ht="36" thickBot="1" x14ac:dyDescent="0.55000000000000004">
      <c r="A7" s="188" t="s">
        <v>8</v>
      </c>
      <c r="B7" s="416" t="s">
        <v>1</v>
      </c>
      <c r="C7" s="417"/>
      <c r="D7" s="417"/>
      <c r="E7" s="417"/>
      <c r="F7" s="417"/>
      <c r="G7" s="418"/>
      <c r="H7" s="189">
        <f>H9+H11+H16+H17</f>
        <v>143163.6</v>
      </c>
      <c r="I7" s="189">
        <f>I9+I11+I16+I17</f>
        <v>144457.75923999998</v>
      </c>
      <c r="J7" s="190">
        <f>J9+J11+J16+J17</f>
        <v>112040.97186000001</v>
      </c>
      <c r="K7" s="189">
        <f>K9+K11+K16+K17</f>
        <v>122710.02186000001</v>
      </c>
      <c r="L7" s="189">
        <f>L9+L11+L16+L17</f>
        <v>147982.50193</v>
      </c>
      <c r="M7" s="189">
        <f>L7-H7</f>
        <v>4818.9019299999927</v>
      </c>
    </row>
    <row r="8" spans="1:15" ht="35.25" x14ac:dyDescent="0.5">
      <c r="A8" s="191"/>
      <c r="B8" s="192" t="s">
        <v>48</v>
      </c>
      <c r="C8" s="193"/>
      <c r="D8" s="193"/>
      <c r="E8" s="193"/>
      <c r="F8" s="193"/>
      <c r="G8" s="194"/>
      <c r="H8" s="195"/>
      <c r="I8" s="196"/>
      <c r="J8" s="197"/>
      <c r="K8" s="195"/>
      <c r="L8" s="195"/>
      <c r="M8" s="198"/>
    </row>
    <row r="9" spans="1:15" ht="35.25" x14ac:dyDescent="0.5">
      <c r="A9" s="199" t="s">
        <v>18</v>
      </c>
      <c r="B9" s="419" t="s">
        <v>22</v>
      </c>
      <c r="C9" s="420"/>
      <c r="D9" s="420"/>
      <c r="E9" s="420"/>
      <c r="F9" s="420"/>
      <c r="G9" s="421"/>
      <c r="H9" s="200">
        <v>123501.1</v>
      </c>
      <c r="I9" s="200">
        <v>124302.276</v>
      </c>
      <c r="J9" s="201">
        <v>94224.070850000004</v>
      </c>
      <c r="K9" s="200">
        <v>103807.67084999999</v>
      </c>
      <c r="L9" s="200">
        <v>125894.37085000001</v>
      </c>
      <c r="M9" s="200">
        <f>L9-H9</f>
        <v>2393.2708500000008</v>
      </c>
      <c r="N9" s="187" t="s">
        <v>87</v>
      </c>
      <c r="O9" s="202"/>
    </row>
    <row r="10" spans="1:15" ht="35.25" x14ac:dyDescent="0.5">
      <c r="A10" s="199"/>
      <c r="B10" s="468" t="s">
        <v>70</v>
      </c>
      <c r="C10" s="469"/>
      <c r="D10" s="469"/>
      <c r="E10" s="469"/>
      <c r="F10" s="469"/>
      <c r="G10" s="470"/>
      <c r="H10" s="203">
        <v>902.9</v>
      </c>
      <c r="I10" s="203">
        <v>1572.6869999999999</v>
      </c>
      <c r="J10" s="204">
        <v>1846.847</v>
      </c>
      <c r="K10" s="205">
        <v>1916.9469999999999</v>
      </c>
      <c r="L10" s="205">
        <v>2078.3470000000002</v>
      </c>
      <c r="M10" s="206">
        <f>L10-H10</f>
        <v>1175.4470000000001</v>
      </c>
    </row>
    <row r="11" spans="1:15" ht="35.25" x14ac:dyDescent="0.5">
      <c r="A11" s="207" t="s">
        <v>19</v>
      </c>
      <c r="B11" s="419" t="s">
        <v>23</v>
      </c>
      <c r="C11" s="420"/>
      <c r="D11" s="420"/>
      <c r="E11" s="420"/>
      <c r="F11" s="420"/>
      <c r="G11" s="421"/>
      <c r="H11" s="200">
        <f>H13+H14+H12+H15</f>
        <v>18510.599999999999</v>
      </c>
      <c r="I11" s="200">
        <f t="shared" ref="I11:M11" si="0">I13+I14+I12+I15</f>
        <v>19003.58324</v>
      </c>
      <c r="J11" s="200">
        <f t="shared" si="0"/>
        <v>16418.21658</v>
      </c>
      <c r="K11" s="200">
        <f t="shared" si="0"/>
        <v>17405.416580000001</v>
      </c>
      <c r="L11" s="200">
        <f t="shared" si="0"/>
        <v>20483.596649999999</v>
      </c>
      <c r="M11" s="200">
        <f t="shared" si="0"/>
        <v>1972.9966499999982</v>
      </c>
    </row>
    <row r="12" spans="1:15" x14ac:dyDescent="0.45">
      <c r="A12" s="199" t="s">
        <v>24</v>
      </c>
      <c r="B12" s="422" t="s">
        <v>81</v>
      </c>
      <c r="C12" s="423"/>
      <c r="D12" s="423"/>
      <c r="E12" s="423"/>
      <c r="F12" s="423"/>
      <c r="G12" s="424"/>
      <c r="H12" s="206">
        <v>2350.5</v>
      </c>
      <c r="I12" s="206">
        <f>H12</f>
        <v>2350.5</v>
      </c>
      <c r="J12" s="208">
        <v>1453.6813299999999</v>
      </c>
      <c r="K12" s="206">
        <v>1607.08133</v>
      </c>
      <c r="L12" s="206">
        <v>2516.4813300000001</v>
      </c>
      <c r="M12" s="206">
        <f t="shared" ref="M12:M18" si="1">L12-H12</f>
        <v>165.98133000000007</v>
      </c>
      <c r="N12" s="187" t="s">
        <v>121</v>
      </c>
    </row>
    <row r="13" spans="1:15" x14ac:dyDescent="0.45">
      <c r="A13" s="209" t="s">
        <v>25</v>
      </c>
      <c r="B13" s="210" t="s">
        <v>113</v>
      </c>
      <c r="C13" s="211"/>
      <c r="D13" s="211"/>
      <c r="E13" s="211"/>
      <c r="F13" s="212"/>
      <c r="G13" s="213"/>
      <c r="H13" s="206">
        <v>16125.1</v>
      </c>
      <c r="I13" s="206">
        <v>16618.08324</v>
      </c>
      <c r="J13" s="208">
        <v>15003.21882</v>
      </c>
      <c r="K13" s="206">
        <v>15837.018819999999</v>
      </c>
      <c r="L13" s="206">
        <v>18003.862583999999</v>
      </c>
      <c r="M13" s="206">
        <f t="shared" si="1"/>
        <v>1878.7625839999982</v>
      </c>
      <c r="N13" s="187" t="s">
        <v>121</v>
      </c>
      <c r="O13" s="202"/>
    </row>
    <row r="14" spans="1:15" x14ac:dyDescent="0.45">
      <c r="A14" s="209" t="s">
        <v>71</v>
      </c>
      <c r="B14" s="209" t="s">
        <v>92</v>
      </c>
      <c r="C14" s="212"/>
      <c r="D14" s="212"/>
      <c r="E14" s="212"/>
      <c r="F14" s="212"/>
      <c r="G14" s="214"/>
      <c r="H14" s="215">
        <v>35</v>
      </c>
      <c r="I14" s="206">
        <f t="shared" ref="I14:I15" si="2">H14</f>
        <v>35</v>
      </c>
      <c r="J14" s="208">
        <v>9.6815300000000004</v>
      </c>
      <c r="K14" s="206">
        <f>J14</f>
        <v>9.6815300000000004</v>
      </c>
      <c r="L14" s="216">
        <v>11.617836</v>
      </c>
      <c r="M14" s="206">
        <f t="shared" si="1"/>
        <v>-23.382164</v>
      </c>
      <c r="N14" s="187" t="s">
        <v>122</v>
      </c>
    </row>
    <row r="15" spans="1:15" x14ac:dyDescent="0.45">
      <c r="A15" s="217" t="s">
        <v>100</v>
      </c>
      <c r="B15" s="191" t="s">
        <v>3</v>
      </c>
      <c r="C15" s="218"/>
      <c r="D15" s="218"/>
      <c r="E15" s="218"/>
      <c r="F15" s="218"/>
      <c r="G15" s="219"/>
      <c r="H15" s="215">
        <v>0</v>
      </c>
      <c r="I15" s="206">
        <f t="shared" si="2"/>
        <v>0</v>
      </c>
      <c r="J15" s="208">
        <v>-48.365099999999998</v>
      </c>
      <c r="K15" s="206">
        <f>J15</f>
        <v>-48.365099999999998</v>
      </c>
      <c r="L15" s="216">
        <f>K15</f>
        <v>-48.365099999999998</v>
      </c>
      <c r="M15" s="206">
        <f t="shared" si="1"/>
        <v>-48.365099999999998</v>
      </c>
      <c r="N15" s="187" t="s">
        <v>123</v>
      </c>
    </row>
    <row r="16" spans="1:15" ht="35.25" x14ac:dyDescent="0.5">
      <c r="A16" s="220" t="s">
        <v>20</v>
      </c>
      <c r="B16" s="440" t="s">
        <v>42</v>
      </c>
      <c r="C16" s="441"/>
      <c r="D16" s="441"/>
      <c r="E16" s="441"/>
      <c r="F16" s="441"/>
      <c r="G16" s="442"/>
      <c r="H16" s="200">
        <v>1151.9000000000001</v>
      </c>
      <c r="I16" s="200">
        <f>H16</f>
        <v>1151.9000000000001</v>
      </c>
      <c r="J16" s="201">
        <v>1398.6842099999999</v>
      </c>
      <c r="K16" s="200">
        <v>1496.9342099999999</v>
      </c>
      <c r="L16" s="200">
        <v>1604.53421</v>
      </c>
      <c r="M16" s="200">
        <f t="shared" si="1"/>
        <v>452.63420999999994</v>
      </c>
    </row>
    <row r="17" spans="1:14" ht="36" thickBot="1" x14ac:dyDescent="0.55000000000000004">
      <c r="A17" s="221" t="s">
        <v>21</v>
      </c>
      <c r="B17" s="437" t="s">
        <v>41</v>
      </c>
      <c r="C17" s="438"/>
      <c r="D17" s="438"/>
      <c r="E17" s="438"/>
      <c r="F17" s="438"/>
      <c r="G17" s="439"/>
      <c r="H17" s="222">
        <v>0</v>
      </c>
      <c r="I17" s="222">
        <v>0</v>
      </c>
      <c r="J17" s="223">
        <v>2.2000000000000001E-4</v>
      </c>
      <c r="K17" s="222">
        <f>J17</f>
        <v>2.2000000000000001E-4</v>
      </c>
      <c r="L17" s="222">
        <f>J17</f>
        <v>2.2000000000000001E-4</v>
      </c>
      <c r="M17" s="222">
        <f t="shared" si="1"/>
        <v>2.2000000000000001E-4</v>
      </c>
      <c r="N17" s="224"/>
    </row>
    <row r="18" spans="1:14" ht="36" thickBot="1" x14ac:dyDescent="0.55000000000000004">
      <c r="A18" s="188" t="s">
        <v>7</v>
      </c>
      <c r="B18" s="416" t="s">
        <v>31</v>
      </c>
      <c r="C18" s="417"/>
      <c r="D18" s="417"/>
      <c r="E18" s="417"/>
      <c r="F18" s="417"/>
      <c r="G18" s="418"/>
      <c r="H18" s="189">
        <f>H20+H25+H30+H35+H36+H37+H26</f>
        <v>21080.800000000003</v>
      </c>
      <c r="I18" s="189">
        <f>I20+I25+I30+I35+I36+I37+I26</f>
        <v>24784.914799999999</v>
      </c>
      <c r="J18" s="190">
        <f>J20+J25+J30+J35+J36+J37+J26</f>
        <v>23108.67411</v>
      </c>
      <c r="K18" s="189">
        <f>K20+K25+K30+K35+K36+K37+K26</f>
        <v>25059.508150000001</v>
      </c>
      <c r="L18" s="189">
        <f>L20+L25+L30+L35+L36+L37+L26</f>
        <v>27420.339434000001</v>
      </c>
      <c r="M18" s="189">
        <f t="shared" si="1"/>
        <v>6339.5394339999984</v>
      </c>
    </row>
    <row r="19" spans="1:14" ht="35.25" x14ac:dyDescent="0.5">
      <c r="A19" s="191"/>
      <c r="B19" s="192" t="s">
        <v>2</v>
      </c>
      <c r="C19" s="193"/>
      <c r="D19" s="193"/>
      <c r="E19" s="193"/>
      <c r="F19" s="193"/>
      <c r="G19" s="194"/>
      <c r="H19" s="195"/>
      <c r="I19" s="195"/>
      <c r="J19" s="197"/>
      <c r="K19" s="195"/>
      <c r="L19" s="195"/>
      <c r="M19" s="195"/>
    </row>
    <row r="20" spans="1:14" ht="35.25" x14ac:dyDescent="0.5">
      <c r="A20" s="220" t="s">
        <v>9</v>
      </c>
      <c r="B20" s="419" t="s">
        <v>17</v>
      </c>
      <c r="C20" s="420"/>
      <c r="D20" s="420"/>
      <c r="E20" s="420"/>
      <c r="F20" s="420"/>
      <c r="G20" s="421"/>
      <c r="H20" s="200">
        <f>H21+H22+H24+H23</f>
        <v>9763.1</v>
      </c>
      <c r="I20" s="200">
        <f>I21+I22+I24+I23</f>
        <v>9852.4327999999987</v>
      </c>
      <c r="J20" s="201">
        <f>J21+J22+J24+J23</f>
        <v>8016.4168</v>
      </c>
      <c r="K20" s="200">
        <f>K21+K22+K24+K23</f>
        <v>9194.0168000000012</v>
      </c>
      <c r="L20" s="200">
        <f>L21+L22+L24+L23</f>
        <v>10376.6168</v>
      </c>
      <c r="M20" s="200">
        <f t="shared" ref="M20:M50" si="3">L20-H20</f>
        <v>613.51679999999942</v>
      </c>
    </row>
    <row r="21" spans="1:14" x14ac:dyDescent="0.45">
      <c r="A21" s="209" t="s">
        <v>27</v>
      </c>
      <c r="B21" s="422" t="s">
        <v>49</v>
      </c>
      <c r="C21" s="423"/>
      <c r="D21" s="423"/>
      <c r="E21" s="423"/>
      <c r="F21" s="423"/>
      <c r="G21" s="424"/>
      <c r="H21" s="206">
        <v>5553.5</v>
      </c>
      <c r="I21" s="206">
        <f>H21</f>
        <v>5553.5</v>
      </c>
      <c r="J21" s="208">
        <v>4199.7650899999999</v>
      </c>
      <c r="K21" s="206">
        <v>4659.7650899999999</v>
      </c>
      <c r="L21" s="206">
        <v>5559.7650899999999</v>
      </c>
      <c r="M21" s="206">
        <f t="shared" si="3"/>
        <v>6.2650899999998728</v>
      </c>
      <c r="N21" s="187" t="s">
        <v>87</v>
      </c>
    </row>
    <row r="22" spans="1:14" x14ac:dyDescent="0.45">
      <c r="A22" s="209" t="s">
        <v>28</v>
      </c>
      <c r="B22" s="422" t="s">
        <v>37</v>
      </c>
      <c r="C22" s="423"/>
      <c r="D22" s="423"/>
      <c r="E22" s="423"/>
      <c r="F22" s="423"/>
      <c r="G22" s="424"/>
      <c r="H22" s="206">
        <v>4208.6000000000004</v>
      </c>
      <c r="I22" s="206">
        <v>4297.9327999999996</v>
      </c>
      <c r="J22" s="208">
        <v>3465.54619</v>
      </c>
      <c r="K22" s="206">
        <v>4183.1461900000004</v>
      </c>
      <c r="L22" s="206">
        <v>4465.7461899999998</v>
      </c>
      <c r="M22" s="206">
        <f t="shared" si="3"/>
        <v>257.14618999999948</v>
      </c>
      <c r="N22" s="187" t="s">
        <v>87</v>
      </c>
    </row>
    <row r="23" spans="1:14" x14ac:dyDescent="0.45">
      <c r="A23" s="209" t="s">
        <v>29</v>
      </c>
      <c r="B23" s="422" t="s">
        <v>44</v>
      </c>
      <c r="C23" s="423"/>
      <c r="D23" s="423"/>
      <c r="E23" s="423"/>
      <c r="F23" s="423"/>
      <c r="G23" s="424"/>
      <c r="H23" s="206">
        <v>0.4</v>
      </c>
      <c r="I23" s="206">
        <f t="shared" ref="I23:I24" si="4">H23</f>
        <v>0.4</v>
      </c>
      <c r="J23" s="208">
        <v>348.00551999999999</v>
      </c>
      <c r="K23" s="206">
        <f>J23</f>
        <v>348.00551999999999</v>
      </c>
      <c r="L23" s="206">
        <f>K23</f>
        <v>348.00551999999999</v>
      </c>
      <c r="M23" s="225">
        <f>L23-H23</f>
        <v>347.60552000000001</v>
      </c>
      <c r="N23" s="224"/>
    </row>
    <row r="24" spans="1:14" x14ac:dyDescent="0.45">
      <c r="A24" s="209" t="s">
        <v>45</v>
      </c>
      <c r="B24" s="422" t="s">
        <v>46</v>
      </c>
      <c r="C24" s="423"/>
      <c r="D24" s="423"/>
      <c r="E24" s="423"/>
      <c r="F24" s="423"/>
      <c r="G24" s="424"/>
      <c r="H24" s="206">
        <v>0.6</v>
      </c>
      <c r="I24" s="206">
        <f t="shared" si="4"/>
        <v>0.6</v>
      </c>
      <c r="J24" s="208">
        <v>3.1</v>
      </c>
      <c r="K24" s="206">
        <f>J24</f>
        <v>3.1</v>
      </c>
      <c r="L24" s="206">
        <f>K24</f>
        <v>3.1</v>
      </c>
      <c r="M24" s="225">
        <f t="shared" si="3"/>
        <v>2.5</v>
      </c>
      <c r="N24" s="224"/>
    </row>
    <row r="25" spans="1:14" ht="35.25" x14ac:dyDescent="0.5">
      <c r="A25" s="207" t="s">
        <v>10</v>
      </c>
      <c r="B25" s="419" t="s">
        <v>30</v>
      </c>
      <c r="C25" s="420"/>
      <c r="D25" s="420"/>
      <c r="E25" s="420"/>
      <c r="F25" s="420"/>
      <c r="G25" s="421"/>
      <c r="H25" s="200">
        <v>66.099999999999994</v>
      </c>
      <c r="I25" s="200">
        <f>H25</f>
        <v>66.099999999999994</v>
      </c>
      <c r="J25" s="201">
        <v>38.922559999999997</v>
      </c>
      <c r="K25" s="200">
        <v>40.12256</v>
      </c>
      <c r="L25" s="200">
        <f>K25</f>
        <v>40.12256</v>
      </c>
      <c r="M25" s="226">
        <f t="shared" si="3"/>
        <v>-25.977439999999994</v>
      </c>
      <c r="N25" s="224"/>
    </row>
    <row r="26" spans="1:14" ht="35.25" x14ac:dyDescent="0.5">
      <c r="A26" s="207" t="s">
        <v>11</v>
      </c>
      <c r="B26" s="419" t="s">
        <v>72</v>
      </c>
      <c r="C26" s="420"/>
      <c r="D26" s="420"/>
      <c r="E26" s="420"/>
      <c r="F26" s="420"/>
      <c r="G26" s="421"/>
      <c r="H26" s="200">
        <f>H27+H28+H29</f>
        <v>10068.5</v>
      </c>
      <c r="I26" s="200">
        <f>I27+I28+I29</f>
        <v>13592.99005</v>
      </c>
      <c r="J26" s="201">
        <f>J27+J28+J29</f>
        <v>13441.58094</v>
      </c>
      <c r="K26" s="200">
        <f>K27+K28+K29</f>
        <v>14359.880940000001</v>
      </c>
      <c r="L26" s="200">
        <f>L27+L28+L29</f>
        <v>15310.880940000001</v>
      </c>
      <c r="M26" s="226">
        <f t="shared" si="3"/>
        <v>5242.3809400000009</v>
      </c>
    </row>
    <row r="27" spans="1:14" x14ac:dyDescent="0.45">
      <c r="A27" s="199" t="s">
        <v>33</v>
      </c>
      <c r="B27" s="422" t="s">
        <v>73</v>
      </c>
      <c r="C27" s="423"/>
      <c r="D27" s="423"/>
      <c r="E27" s="423"/>
      <c r="F27" s="423"/>
      <c r="G27" s="424"/>
      <c r="H27" s="227">
        <v>9789.5</v>
      </c>
      <c r="I27" s="215">
        <v>12011.32</v>
      </c>
      <c r="J27" s="208">
        <v>11264.1276</v>
      </c>
      <c r="K27" s="206">
        <v>12182.427600000001</v>
      </c>
      <c r="L27" s="206">
        <v>13096.427600000001</v>
      </c>
      <c r="M27" s="225">
        <f t="shared" si="3"/>
        <v>3306.9276000000009</v>
      </c>
      <c r="N27" s="187" t="s">
        <v>87</v>
      </c>
    </row>
    <row r="28" spans="1:14" x14ac:dyDescent="0.45">
      <c r="A28" s="199" t="s">
        <v>34</v>
      </c>
      <c r="B28" s="422" t="s">
        <v>76</v>
      </c>
      <c r="C28" s="423"/>
      <c r="D28" s="423"/>
      <c r="E28" s="423"/>
      <c r="F28" s="423"/>
      <c r="G28" s="424"/>
      <c r="H28" s="228">
        <v>239</v>
      </c>
      <c r="I28" s="215">
        <f>H28</f>
        <v>239</v>
      </c>
      <c r="J28" s="208">
        <v>126.05342</v>
      </c>
      <c r="K28" s="206">
        <f>J28</f>
        <v>126.05342</v>
      </c>
      <c r="L28" s="206">
        <v>163.05341999999999</v>
      </c>
      <c r="M28" s="225">
        <f t="shared" si="3"/>
        <v>-75.946580000000012</v>
      </c>
      <c r="N28" s="187" t="s">
        <v>87</v>
      </c>
    </row>
    <row r="29" spans="1:14" x14ac:dyDescent="0.45">
      <c r="A29" s="199" t="s">
        <v>77</v>
      </c>
      <c r="B29" s="422" t="s">
        <v>75</v>
      </c>
      <c r="C29" s="423"/>
      <c r="D29" s="423"/>
      <c r="E29" s="423"/>
      <c r="F29" s="423"/>
      <c r="G29" s="424"/>
      <c r="H29" s="216">
        <v>40</v>
      </c>
      <c r="I29" s="206">
        <v>1342.6700499999999</v>
      </c>
      <c r="J29" s="208">
        <v>2051.3999199999998</v>
      </c>
      <c r="K29" s="206">
        <f>J29</f>
        <v>2051.3999199999998</v>
      </c>
      <c r="L29" s="206">
        <f>K29</f>
        <v>2051.3999199999998</v>
      </c>
      <c r="M29" s="225">
        <f t="shared" si="3"/>
        <v>2011.3999199999998</v>
      </c>
    </row>
    <row r="30" spans="1:14" ht="35.25" x14ac:dyDescent="0.5">
      <c r="A30" s="220" t="s">
        <v>11</v>
      </c>
      <c r="B30" s="419" t="s">
        <v>36</v>
      </c>
      <c r="C30" s="420"/>
      <c r="D30" s="420"/>
      <c r="E30" s="420"/>
      <c r="F30" s="420"/>
      <c r="G30" s="421"/>
      <c r="H30" s="200">
        <f>H31+H32+H33</f>
        <v>867.6</v>
      </c>
      <c r="I30" s="200">
        <f>I31+I32+I33</f>
        <v>867.6</v>
      </c>
      <c r="J30" s="201">
        <f>J31+J32+J33+J34</f>
        <v>1252.5446899999999</v>
      </c>
      <c r="K30" s="200">
        <f>K31+K32+K33</f>
        <v>1104.4855299999999</v>
      </c>
      <c r="L30" s="200">
        <f>L31+L32+L33+L34</f>
        <v>1292.5446899999999</v>
      </c>
      <c r="M30" s="226">
        <f t="shared" si="3"/>
        <v>424.94468999999992</v>
      </c>
    </row>
    <row r="31" spans="1:14" x14ac:dyDescent="0.45">
      <c r="A31" s="209" t="s">
        <v>33</v>
      </c>
      <c r="B31" s="422" t="s">
        <v>103</v>
      </c>
      <c r="C31" s="423"/>
      <c r="D31" s="423"/>
      <c r="E31" s="423"/>
      <c r="F31" s="423"/>
      <c r="G31" s="424"/>
      <c r="H31" s="206">
        <v>150</v>
      </c>
      <c r="I31" s="206">
        <f>H31</f>
        <v>150</v>
      </c>
      <c r="J31" s="208">
        <v>133.62260000000001</v>
      </c>
      <c r="K31" s="206">
        <f t="shared" ref="K31:K36" si="5">J31</f>
        <v>133.62260000000001</v>
      </c>
      <c r="L31" s="206">
        <f>K31</f>
        <v>133.62260000000001</v>
      </c>
      <c r="M31" s="225">
        <f t="shared" si="3"/>
        <v>-16.377399999999994</v>
      </c>
      <c r="N31" s="187" t="s">
        <v>124</v>
      </c>
    </row>
    <row r="32" spans="1:14" x14ac:dyDescent="0.45">
      <c r="A32" s="209" t="s">
        <v>34</v>
      </c>
      <c r="B32" s="422" t="s">
        <v>35</v>
      </c>
      <c r="C32" s="423"/>
      <c r="D32" s="423"/>
      <c r="E32" s="423"/>
      <c r="F32" s="423"/>
      <c r="G32" s="424"/>
      <c r="H32" s="206">
        <v>450</v>
      </c>
      <c r="I32" s="206">
        <f t="shared" ref="I32:I33" si="6">H32</f>
        <v>450</v>
      </c>
      <c r="J32" s="208">
        <v>717.81434999999999</v>
      </c>
      <c r="K32" s="206">
        <f>J32</f>
        <v>717.81434999999999</v>
      </c>
      <c r="L32" s="206">
        <f>K32</f>
        <v>717.81434999999999</v>
      </c>
      <c r="M32" s="225">
        <f t="shared" si="3"/>
        <v>267.81434999999999</v>
      </c>
      <c r="N32" s="187" t="s">
        <v>87</v>
      </c>
    </row>
    <row r="33" spans="1:24" x14ac:dyDescent="0.45">
      <c r="A33" s="209" t="s">
        <v>77</v>
      </c>
      <c r="B33" s="422" t="s">
        <v>79</v>
      </c>
      <c r="C33" s="423"/>
      <c r="D33" s="423"/>
      <c r="E33" s="423"/>
      <c r="F33" s="423"/>
      <c r="G33" s="424"/>
      <c r="H33" s="206">
        <v>267.60000000000002</v>
      </c>
      <c r="I33" s="206">
        <f t="shared" si="6"/>
        <v>267.60000000000002</v>
      </c>
      <c r="J33" s="208">
        <v>238.04857999999999</v>
      </c>
      <c r="K33" s="206">
        <v>253.04857999999999</v>
      </c>
      <c r="L33" s="206">
        <v>278.04858000000002</v>
      </c>
      <c r="M33" s="225">
        <f t="shared" si="3"/>
        <v>10.448579999999993</v>
      </c>
      <c r="N33" s="187" t="s">
        <v>87</v>
      </c>
    </row>
    <row r="34" spans="1:24" x14ac:dyDescent="0.45">
      <c r="A34" s="209" t="s">
        <v>104</v>
      </c>
      <c r="B34" s="422" t="s">
        <v>105</v>
      </c>
      <c r="C34" s="423"/>
      <c r="D34" s="423"/>
      <c r="E34" s="423"/>
      <c r="F34" s="423"/>
      <c r="G34" s="424"/>
      <c r="H34" s="206">
        <v>0</v>
      </c>
      <c r="I34" s="206">
        <v>0</v>
      </c>
      <c r="J34" s="208">
        <v>163.05915999999999</v>
      </c>
      <c r="K34" s="206">
        <f>J34</f>
        <v>163.05915999999999</v>
      </c>
      <c r="L34" s="206">
        <f>J34</f>
        <v>163.05915999999999</v>
      </c>
      <c r="M34" s="225"/>
      <c r="N34" s="187" t="s">
        <v>110</v>
      </c>
    </row>
    <row r="35" spans="1:24" ht="35.25" x14ac:dyDescent="0.5">
      <c r="A35" s="220" t="s">
        <v>12</v>
      </c>
      <c r="B35" s="425" t="s">
        <v>6</v>
      </c>
      <c r="C35" s="426"/>
      <c r="D35" s="426"/>
      <c r="E35" s="426"/>
      <c r="F35" s="426"/>
      <c r="G35" s="427"/>
      <c r="H35" s="200">
        <v>315.5</v>
      </c>
      <c r="I35" s="200">
        <v>405.79194999999999</v>
      </c>
      <c r="J35" s="201">
        <v>486.60762999999997</v>
      </c>
      <c r="K35" s="200">
        <v>489.30763000000002</v>
      </c>
      <c r="L35" s="200">
        <v>528.47975399999996</v>
      </c>
      <c r="M35" s="226">
        <f t="shared" si="3"/>
        <v>212.97975399999996</v>
      </c>
      <c r="N35" s="187" t="s">
        <v>127</v>
      </c>
    </row>
    <row r="36" spans="1:24" ht="35.25" x14ac:dyDescent="0.5">
      <c r="A36" s="220" t="s">
        <v>13</v>
      </c>
      <c r="B36" s="419" t="s">
        <v>16</v>
      </c>
      <c r="C36" s="420"/>
      <c r="D36" s="420"/>
      <c r="E36" s="420"/>
      <c r="F36" s="420"/>
      <c r="G36" s="421"/>
      <c r="H36" s="200">
        <v>0</v>
      </c>
      <c r="I36" s="200">
        <v>0</v>
      </c>
      <c r="J36" s="201">
        <v>-128.30530999999999</v>
      </c>
      <c r="K36" s="200">
        <f t="shared" si="5"/>
        <v>-128.30530999999999</v>
      </c>
      <c r="L36" s="200">
        <f>J36</f>
        <v>-128.30530999999999</v>
      </c>
      <c r="M36" s="226">
        <f t="shared" si="3"/>
        <v>-128.30530999999999</v>
      </c>
    </row>
    <row r="37" spans="1:24" ht="35.25" x14ac:dyDescent="0.5">
      <c r="A37" s="220" t="s">
        <v>14</v>
      </c>
      <c r="B37" s="428" t="s">
        <v>15</v>
      </c>
      <c r="C37" s="429"/>
      <c r="D37" s="429"/>
      <c r="E37" s="429"/>
      <c r="F37" s="429"/>
      <c r="G37" s="430"/>
      <c r="H37" s="200">
        <v>0</v>
      </c>
      <c r="I37" s="200">
        <v>0</v>
      </c>
      <c r="J37" s="201">
        <v>0.90680000000000005</v>
      </c>
      <c r="K37" s="200">
        <v>0</v>
      </c>
      <c r="L37" s="200">
        <v>0</v>
      </c>
      <c r="M37" s="226">
        <f t="shared" si="3"/>
        <v>0</v>
      </c>
      <c r="N37" s="224"/>
    </row>
    <row r="38" spans="1:24" ht="35.25" x14ac:dyDescent="0.5">
      <c r="A38" s="229" t="s">
        <v>40</v>
      </c>
      <c r="B38" s="431" t="s">
        <v>38</v>
      </c>
      <c r="C38" s="432"/>
      <c r="D38" s="432"/>
      <c r="E38" s="432"/>
      <c r="F38" s="432"/>
      <c r="G38" s="433"/>
      <c r="H38" s="222"/>
      <c r="I38" s="222">
        <f>I39</f>
        <v>0</v>
      </c>
      <c r="J38" s="222">
        <f>J39</f>
        <v>0</v>
      </c>
      <c r="K38" s="222">
        <f>K39</f>
        <v>0</v>
      </c>
      <c r="L38" s="222"/>
      <c r="M38" s="200">
        <f t="shared" si="3"/>
        <v>0</v>
      </c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</row>
    <row r="39" spans="1:24" ht="36" thickBot="1" x14ac:dyDescent="0.55000000000000004">
      <c r="A39" s="230" t="s">
        <v>47</v>
      </c>
      <c r="B39" s="434" t="s">
        <v>39</v>
      </c>
      <c r="C39" s="435"/>
      <c r="D39" s="435"/>
      <c r="E39" s="435"/>
      <c r="F39" s="435"/>
      <c r="G39" s="436"/>
      <c r="H39" s="231">
        <v>0</v>
      </c>
      <c r="I39" s="231"/>
      <c r="J39" s="232"/>
      <c r="K39" s="233"/>
      <c r="L39" s="231">
        <v>0</v>
      </c>
      <c r="M39" s="234">
        <f t="shared" si="3"/>
        <v>0</v>
      </c>
    </row>
    <row r="40" spans="1:24" ht="36" thickBot="1" x14ac:dyDescent="0.55000000000000004">
      <c r="A40" s="235"/>
      <c r="B40" s="409" t="s">
        <v>32</v>
      </c>
      <c r="C40" s="410"/>
      <c r="D40" s="410"/>
      <c r="E40" s="410"/>
      <c r="F40" s="410"/>
      <c r="G40" s="411"/>
      <c r="H40" s="236">
        <f>H7+H18+H38-0.01</f>
        <v>164244.39000000001</v>
      </c>
      <c r="I40" s="236">
        <f>I7+I18+I38-0.1</f>
        <v>169242.57403999998</v>
      </c>
      <c r="J40" s="236">
        <f>J7+J18+J38</f>
        <v>135149.64597000001</v>
      </c>
      <c r="K40" s="236">
        <f>K7+K18+K38</f>
        <v>147769.53001000002</v>
      </c>
      <c r="L40" s="236">
        <f>L7+L18+L39</f>
        <v>175402.84136399999</v>
      </c>
      <c r="M40" s="236">
        <f t="shared" si="3"/>
        <v>11158.451363999979</v>
      </c>
      <c r="N40" s="237"/>
    </row>
    <row r="41" spans="1:24" ht="36" thickBot="1" x14ac:dyDescent="0.55000000000000004">
      <c r="A41" s="238" t="s">
        <v>40</v>
      </c>
      <c r="B41" s="416" t="s">
        <v>56</v>
      </c>
      <c r="C41" s="417"/>
      <c r="D41" s="417"/>
      <c r="E41" s="417"/>
      <c r="F41" s="417"/>
      <c r="G41" s="418"/>
      <c r="H41" s="189">
        <f>H42+H49+H47+H48</f>
        <v>666392</v>
      </c>
      <c r="I41" s="189">
        <f t="shared" ref="I41" si="7">I42+I49+I47+I48</f>
        <v>677929.78580000007</v>
      </c>
      <c r="J41" s="189">
        <f>J42+J49+J47+J48</f>
        <v>531606.75404999999</v>
      </c>
      <c r="K41" s="189">
        <f t="shared" ref="K41:M41" si="8">K42+K49+K47+K48</f>
        <v>531606.75404999999</v>
      </c>
      <c r="L41" s="189">
        <f t="shared" si="8"/>
        <v>678052.99580000003</v>
      </c>
      <c r="M41" s="189">
        <f t="shared" si="8"/>
        <v>11660.995800000072</v>
      </c>
    </row>
    <row r="42" spans="1:24" ht="35.25" x14ac:dyDescent="0.5">
      <c r="A42" s="239" t="s">
        <v>47</v>
      </c>
      <c r="B42" s="413" t="s">
        <v>65</v>
      </c>
      <c r="C42" s="414"/>
      <c r="D42" s="414"/>
      <c r="E42" s="414"/>
      <c r="F42" s="414"/>
      <c r="G42" s="415"/>
      <c r="H42" s="195">
        <f>SUM(H43:H46)</f>
        <v>666392</v>
      </c>
      <c r="I42" s="195">
        <f>SUM(I43:I46)</f>
        <v>678004.27944000007</v>
      </c>
      <c r="J42" s="197">
        <f>SUM(J43:J46)</f>
        <v>531558.03769000003</v>
      </c>
      <c r="K42" s="195">
        <f>SUM(K43:K46)</f>
        <v>531558.03769000003</v>
      </c>
      <c r="L42" s="195">
        <f>SUM(L43:L46)</f>
        <v>678004.27944000007</v>
      </c>
      <c r="M42" s="195">
        <f>L42-H42</f>
        <v>11612.279440000071</v>
      </c>
    </row>
    <row r="43" spans="1:24" x14ac:dyDescent="0.45">
      <c r="A43" s="240" t="s">
        <v>66</v>
      </c>
      <c r="B43" s="403" t="s">
        <v>57</v>
      </c>
      <c r="C43" s="404"/>
      <c r="D43" s="404"/>
      <c r="E43" s="404"/>
      <c r="F43" s="404"/>
      <c r="G43" s="405"/>
      <c r="H43" s="241">
        <v>254225.2</v>
      </c>
      <c r="I43" s="206">
        <v>254225.2</v>
      </c>
      <c r="J43" s="208">
        <v>209623.11799999999</v>
      </c>
      <c r="K43" s="206">
        <f>J43</f>
        <v>209623.11799999999</v>
      </c>
      <c r="L43" s="206">
        <v>254225.2</v>
      </c>
      <c r="M43" s="206">
        <f>L43-H43</f>
        <v>0</v>
      </c>
    </row>
    <row r="44" spans="1:24" x14ac:dyDescent="0.45">
      <c r="A44" s="240" t="s">
        <v>67</v>
      </c>
      <c r="B44" s="403" t="s">
        <v>59</v>
      </c>
      <c r="C44" s="404"/>
      <c r="D44" s="404"/>
      <c r="E44" s="404"/>
      <c r="F44" s="404"/>
      <c r="G44" s="405"/>
      <c r="H44" s="241">
        <v>81253.600000000006</v>
      </c>
      <c r="I44" s="206">
        <v>76758.104820000008</v>
      </c>
      <c r="J44" s="208">
        <v>41338.66347</v>
      </c>
      <c r="K44" s="206">
        <f t="shared" ref="K44:K49" si="9">J44</f>
        <v>41338.66347</v>
      </c>
      <c r="L44" s="206">
        <f>I44</f>
        <v>76758.104820000008</v>
      </c>
      <c r="M44" s="206">
        <f>L44-H44</f>
        <v>-4495.4951799999981</v>
      </c>
    </row>
    <row r="45" spans="1:24" x14ac:dyDescent="0.45">
      <c r="A45" s="240" t="s">
        <v>68</v>
      </c>
      <c r="B45" s="403" t="s">
        <v>60</v>
      </c>
      <c r="C45" s="404"/>
      <c r="D45" s="404"/>
      <c r="E45" s="404"/>
      <c r="F45" s="404"/>
      <c r="G45" s="405"/>
      <c r="H45" s="241">
        <v>328647</v>
      </c>
      <c r="I45" s="206">
        <v>330751.9627400001</v>
      </c>
      <c r="J45" s="208">
        <v>266037.27438000002</v>
      </c>
      <c r="K45" s="206">
        <f t="shared" si="9"/>
        <v>266037.27438000002</v>
      </c>
      <c r="L45" s="206">
        <f>I45</f>
        <v>330751.9627400001</v>
      </c>
      <c r="M45" s="206">
        <f t="shared" si="3"/>
        <v>2104.9627400001045</v>
      </c>
    </row>
    <row r="46" spans="1:24" x14ac:dyDescent="0.45">
      <c r="A46" s="240" t="s">
        <v>69</v>
      </c>
      <c r="B46" s="403" t="s">
        <v>62</v>
      </c>
      <c r="C46" s="404"/>
      <c r="D46" s="404"/>
      <c r="E46" s="404"/>
      <c r="F46" s="404"/>
      <c r="G46" s="405"/>
      <c r="H46" s="241">
        <v>2266.1999999999998</v>
      </c>
      <c r="I46" s="206">
        <v>16269.011879999998</v>
      </c>
      <c r="J46" s="208">
        <v>14558.981839999999</v>
      </c>
      <c r="K46" s="206">
        <f>J46</f>
        <v>14558.981839999999</v>
      </c>
      <c r="L46" s="206">
        <f>I46</f>
        <v>16269.011879999998</v>
      </c>
      <c r="M46" s="206">
        <f t="shared" si="3"/>
        <v>14002.811879999997</v>
      </c>
    </row>
    <row r="47" spans="1:24" x14ac:dyDescent="0.45">
      <c r="A47" s="240" t="s">
        <v>58</v>
      </c>
      <c r="B47" s="403" t="s">
        <v>125</v>
      </c>
      <c r="C47" s="404"/>
      <c r="D47" s="404"/>
      <c r="E47" s="404"/>
      <c r="F47" s="404"/>
      <c r="G47" s="405"/>
      <c r="H47" s="206">
        <v>0</v>
      </c>
      <c r="I47" s="206">
        <v>704.34699999999998</v>
      </c>
      <c r="J47" s="208">
        <v>704.34699999999998</v>
      </c>
      <c r="K47" s="206">
        <f t="shared" si="9"/>
        <v>704.34699999999998</v>
      </c>
      <c r="L47" s="206">
        <f>J47</f>
        <v>704.34699999999998</v>
      </c>
      <c r="M47" s="206">
        <f t="shared" si="3"/>
        <v>704.34699999999998</v>
      </c>
    </row>
    <row r="48" spans="1:24" x14ac:dyDescent="0.45">
      <c r="A48" s="240" t="s">
        <v>61</v>
      </c>
      <c r="B48" s="403" t="s">
        <v>74</v>
      </c>
      <c r="C48" s="404"/>
      <c r="D48" s="404"/>
      <c r="E48" s="404"/>
      <c r="F48" s="404"/>
      <c r="G48" s="405"/>
      <c r="H48" s="206">
        <v>0</v>
      </c>
      <c r="I48" s="206">
        <v>1620.1713400000001</v>
      </c>
      <c r="J48" s="208">
        <v>1743.3813400000001</v>
      </c>
      <c r="K48" s="206">
        <f t="shared" si="9"/>
        <v>1743.3813400000001</v>
      </c>
      <c r="L48" s="206">
        <f>J48</f>
        <v>1743.3813400000001</v>
      </c>
      <c r="M48" s="206">
        <f t="shared" si="3"/>
        <v>1743.3813400000001</v>
      </c>
    </row>
    <row r="49" spans="1:13" ht="35.25" thickBot="1" x14ac:dyDescent="0.5">
      <c r="A49" s="242" t="s">
        <v>84</v>
      </c>
      <c r="B49" s="406" t="s">
        <v>78</v>
      </c>
      <c r="C49" s="407"/>
      <c r="D49" s="407"/>
      <c r="E49" s="407"/>
      <c r="F49" s="407"/>
      <c r="G49" s="408"/>
      <c r="H49" s="243">
        <v>0</v>
      </c>
      <c r="I49" s="243">
        <v>-2399.0119800000002</v>
      </c>
      <c r="J49" s="232">
        <v>-2399.0119800000002</v>
      </c>
      <c r="K49" s="243">
        <f t="shared" si="9"/>
        <v>-2399.0119800000002</v>
      </c>
      <c r="L49" s="243">
        <f>J49</f>
        <v>-2399.0119800000002</v>
      </c>
      <c r="M49" s="243">
        <f t="shared" si="3"/>
        <v>-2399.0119800000002</v>
      </c>
    </row>
    <row r="50" spans="1:13" ht="36" thickBot="1" x14ac:dyDescent="0.55000000000000004">
      <c r="A50" s="235" t="s">
        <v>63</v>
      </c>
      <c r="B50" s="409" t="s">
        <v>64</v>
      </c>
      <c r="C50" s="410"/>
      <c r="D50" s="410"/>
      <c r="E50" s="410"/>
      <c r="F50" s="410"/>
      <c r="G50" s="411"/>
      <c r="H50" s="236">
        <f>H40+H41</f>
        <v>830636.39</v>
      </c>
      <c r="I50" s="236">
        <f>I40+I41</f>
        <v>847172.35984000005</v>
      </c>
      <c r="J50" s="236">
        <f>J40+J41</f>
        <v>666756.40002000006</v>
      </c>
      <c r="K50" s="236">
        <f>K40+K41</f>
        <v>679376.28405999998</v>
      </c>
      <c r="L50" s="236">
        <f>L40+L41</f>
        <v>853455.83716400003</v>
      </c>
      <c r="M50" s="236">
        <f t="shared" si="3"/>
        <v>22819.447164000012</v>
      </c>
    </row>
    <row r="51" spans="1:13" ht="35.25" x14ac:dyDescent="0.5">
      <c r="A51" s="244"/>
      <c r="B51" s="412"/>
      <c r="C51" s="412"/>
      <c r="D51" s="412"/>
      <c r="E51" s="412"/>
      <c r="F51" s="412"/>
      <c r="G51" s="412"/>
      <c r="H51" s="412"/>
      <c r="I51" s="412"/>
      <c r="J51" s="412"/>
      <c r="K51" s="412"/>
      <c r="L51" s="412"/>
      <c r="M51" s="245"/>
    </row>
    <row r="52" spans="1:13" x14ac:dyDescent="0.45">
      <c r="A52" s="187" t="s">
        <v>126</v>
      </c>
    </row>
    <row r="56" spans="1:13" x14ac:dyDescent="0.45">
      <c r="H56" s="187">
        <v>787315300</v>
      </c>
    </row>
  </sheetData>
  <mergeCells count="50">
    <mergeCell ref="B16:G16"/>
    <mergeCell ref="A1:M1"/>
    <mergeCell ref="A2:M2"/>
    <mergeCell ref="A3:A6"/>
    <mergeCell ref="B3:G6"/>
    <mergeCell ref="H3:H6"/>
    <mergeCell ref="I3:I6"/>
    <mergeCell ref="J3:J6"/>
    <mergeCell ref="K3:K6"/>
    <mergeCell ref="L3:L6"/>
    <mergeCell ref="M3:M6"/>
    <mergeCell ref="B7:G7"/>
    <mergeCell ref="B9:G9"/>
    <mergeCell ref="B10:G10"/>
    <mergeCell ref="B11:G11"/>
    <mergeCell ref="B12:G12"/>
    <mergeCell ref="B29:G29"/>
    <mergeCell ref="B17:G17"/>
    <mergeCell ref="B18:G18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41:G41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8:G48"/>
    <mergeCell ref="B49:G49"/>
    <mergeCell ref="B50:G50"/>
    <mergeCell ref="B51:L51"/>
    <mergeCell ref="B42:G42"/>
    <mergeCell ref="B43:G43"/>
    <mergeCell ref="B44:G44"/>
    <mergeCell ref="B45:G45"/>
    <mergeCell ref="B46:G46"/>
    <mergeCell ref="B47:G47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28" zoomScaleNormal="100" workbookViewId="0">
      <selection activeCell="K10" sqref="K10"/>
    </sheetView>
  </sheetViews>
  <sheetFormatPr defaultRowHeight="34.5" x14ac:dyDescent="0.45"/>
  <cols>
    <col min="1" max="1" width="6" style="187" customWidth="1"/>
    <col min="2" max="2" width="33.5703125" style="187" customWidth="1"/>
    <col min="3" max="3" width="9.140625" style="187" hidden="1" customWidth="1"/>
    <col min="4" max="4" width="23" style="187" hidden="1" customWidth="1"/>
    <col min="5" max="5" width="22.140625" style="187" hidden="1" customWidth="1"/>
    <col min="6" max="6" width="20" style="187" hidden="1" customWidth="1"/>
    <col min="7" max="7" width="34.7109375" style="187" hidden="1" customWidth="1"/>
    <col min="8" max="8" width="16.85546875" style="187" customWidth="1"/>
    <col min="9" max="9" width="15.28515625" style="187" customWidth="1"/>
    <col min="10" max="10" width="16.42578125" style="187" customWidth="1"/>
    <col min="11" max="11" width="15.7109375" style="187" customWidth="1"/>
    <col min="12" max="12" width="17.5703125" style="187" customWidth="1"/>
    <col min="13" max="13" width="18.85546875" style="187" customWidth="1"/>
    <col min="14" max="14" width="14.140625" style="187" customWidth="1"/>
    <col min="15" max="16" width="9.140625" style="187"/>
    <col min="17" max="17" width="42.85546875" style="187" customWidth="1"/>
    <col min="18" max="19" width="9.140625" style="187"/>
    <col min="20" max="20" width="42" style="187" customWidth="1"/>
    <col min="21" max="21" width="68.7109375" style="187" customWidth="1"/>
    <col min="22" max="16384" width="9.140625" style="187"/>
  </cols>
  <sheetData>
    <row r="1" spans="1:15" ht="33.75" customHeight="1" x14ac:dyDescent="0.45">
      <c r="A1" s="484" t="s">
        <v>141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246"/>
    </row>
    <row r="2" spans="1:15" hidden="1" x14ac:dyDescent="0.45">
      <c r="A2" s="485"/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246"/>
    </row>
    <row r="3" spans="1:15" x14ac:dyDescent="0.45">
      <c r="A3" s="472" t="s">
        <v>55</v>
      </c>
      <c r="B3" s="472" t="s">
        <v>0</v>
      </c>
      <c r="C3" s="472"/>
      <c r="D3" s="472"/>
      <c r="E3" s="472"/>
      <c r="F3" s="472"/>
      <c r="G3" s="472"/>
      <c r="H3" s="473" t="s">
        <v>112</v>
      </c>
      <c r="I3" s="473" t="s">
        <v>52</v>
      </c>
      <c r="J3" s="488" t="s">
        <v>138</v>
      </c>
      <c r="K3" s="489" t="s">
        <v>82</v>
      </c>
      <c r="L3" s="490" t="s">
        <v>139</v>
      </c>
      <c r="M3" s="473" t="s">
        <v>54</v>
      </c>
      <c r="N3" s="246"/>
    </row>
    <row r="4" spans="1:15" x14ac:dyDescent="0.45">
      <c r="A4" s="472"/>
      <c r="B4" s="472"/>
      <c r="C4" s="472"/>
      <c r="D4" s="472"/>
      <c r="E4" s="472"/>
      <c r="F4" s="472"/>
      <c r="G4" s="472"/>
      <c r="H4" s="473"/>
      <c r="I4" s="473"/>
      <c r="J4" s="488"/>
      <c r="K4" s="489"/>
      <c r="L4" s="490"/>
      <c r="M4" s="473"/>
      <c r="N4" s="246"/>
    </row>
    <row r="5" spans="1:15" ht="0.75" customHeight="1" x14ac:dyDescent="0.45">
      <c r="A5" s="472"/>
      <c r="B5" s="472"/>
      <c r="C5" s="472"/>
      <c r="D5" s="472"/>
      <c r="E5" s="472"/>
      <c r="F5" s="472"/>
      <c r="G5" s="472"/>
      <c r="H5" s="473"/>
      <c r="I5" s="473"/>
      <c r="J5" s="488"/>
      <c r="K5" s="489"/>
      <c r="L5" s="490"/>
      <c r="M5" s="473"/>
      <c r="N5" s="246"/>
    </row>
    <row r="6" spans="1:15" hidden="1" x14ac:dyDescent="0.45">
      <c r="A6" s="472"/>
      <c r="B6" s="472"/>
      <c r="C6" s="472"/>
      <c r="D6" s="472"/>
      <c r="E6" s="472"/>
      <c r="F6" s="472"/>
      <c r="G6" s="472"/>
      <c r="H6" s="473"/>
      <c r="I6" s="473"/>
      <c r="J6" s="488"/>
      <c r="K6" s="489"/>
      <c r="L6" s="490"/>
      <c r="M6" s="473"/>
      <c r="N6" s="246"/>
    </row>
    <row r="7" spans="1:15" ht="22.5" customHeight="1" x14ac:dyDescent="0.45">
      <c r="A7" s="266" t="s">
        <v>8</v>
      </c>
      <c r="B7" s="474" t="s">
        <v>1</v>
      </c>
      <c r="C7" s="474"/>
      <c r="D7" s="474"/>
      <c r="E7" s="474"/>
      <c r="F7" s="474"/>
      <c r="G7" s="474"/>
      <c r="H7" s="247">
        <f>SUM(H9+H12+H13+H18+H21+H22)</f>
        <v>207533.4</v>
      </c>
      <c r="I7" s="247">
        <f t="shared" ref="I7:M7" si="0">SUM(I9+I12+I13+I18+I21+I22)</f>
        <v>207979.9</v>
      </c>
      <c r="J7" s="247">
        <f t="shared" si="0"/>
        <v>178238.74643000003</v>
      </c>
      <c r="K7" s="247">
        <f t="shared" si="0"/>
        <v>193945.32806999999</v>
      </c>
      <c r="L7" s="247">
        <f t="shared" si="0"/>
        <v>231698.78324000002</v>
      </c>
      <c r="M7" s="247">
        <f t="shared" si="0"/>
        <v>24165.383240000014</v>
      </c>
      <c r="N7" s="246"/>
    </row>
    <row r="8" spans="1:15" ht="21" customHeight="1" x14ac:dyDescent="0.45">
      <c r="A8" s="258"/>
      <c r="B8" s="259" t="s">
        <v>48</v>
      </c>
      <c r="C8" s="259"/>
      <c r="D8" s="259"/>
      <c r="E8" s="259"/>
      <c r="F8" s="259"/>
      <c r="G8" s="259"/>
      <c r="H8" s="247"/>
      <c r="I8" s="260"/>
      <c r="J8" s="247"/>
      <c r="K8" s="247"/>
      <c r="L8" s="247"/>
      <c r="M8" s="252"/>
      <c r="N8" s="246"/>
    </row>
    <row r="9" spans="1:15" ht="18.75" customHeight="1" x14ac:dyDescent="0.45">
      <c r="A9" s="262" t="s">
        <v>18</v>
      </c>
      <c r="B9" s="471" t="s">
        <v>22</v>
      </c>
      <c r="C9" s="471"/>
      <c r="D9" s="471"/>
      <c r="E9" s="471"/>
      <c r="F9" s="471"/>
      <c r="G9" s="471"/>
      <c r="H9" s="247">
        <v>144567.29999999999</v>
      </c>
      <c r="I9" s="247">
        <v>145013.79999999999</v>
      </c>
      <c r="J9" s="268">
        <v>128999.5931</v>
      </c>
      <c r="K9" s="268">
        <v>140147.5</v>
      </c>
      <c r="L9" s="247">
        <f>165124.7-3396.7</f>
        <v>161728</v>
      </c>
      <c r="M9" s="247">
        <f>L9-H9</f>
        <v>17160.700000000012</v>
      </c>
      <c r="N9" s="246"/>
      <c r="O9" s="202"/>
    </row>
    <row r="10" spans="1:15" ht="46.5" customHeight="1" x14ac:dyDescent="0.45">
      <c r="A10" s="261" t="s">
        <v>142</v>
      </c>
      <c r="B10" s="475" t="s">
        <v>70</v>
      </c>
      <c r="C10" s="476"/>
      <c r="D10" s="476"/>
      <c r="E10" s="476"/>
      <c r="F10" s="476"/>
      <c r="G10" s="476"/>
      <c r="H10" s="248">
        <v>2514.1</v>
      </c>
      <c r="I10" s="248">
        <v>2514.1</v>
      </c>
      <c r="J10" s="269">
        <v>896.577</v>
      </c>
      <c r="K10" s="269">
        <v>983.2</v>
      </c>
      <c r="L10" s="248">
        <v>1182.5999999999999</v>
      </c>
      <c r="M10" s="249">
        <f>L10-H10</f>
        <v>-1331.5</v>
      </c>
      <c r="N10" s="246"/>
    </row>
    <row r="11" spans="1:15" ht="19.5" customHeight="1" x14ac:dyDescent="0.45">
      <c r="A11" s="261" t="s">
        <v>143</v>
      </c>
      <c r="B11" s="475" t="s">
        <v>128</v>
      </c>
      <c r="C11" s="475"/>
      <c r="D11" s="475"/>
      <c r="E11" s="475"/>
      <c r="F11" s="475"/>
      <c r="G11" s="475"/>
      <c r="H11" s="248">
        <v>11.4</v>
      </c>
      <c r="I11" s="248">
        <v>11.4</v>
      </c>
      <c r="J11" s="269">
        <v>31.485220000000002</v>
      </c>
      <c r="K11" s="269">
        <v>0</v>
      </c>
      <c r="L11" s="248">
        <v>11.4</v>
      </c>
      <c r="M11" s="249">
        <f t="shared" ref="M11:M12" si="1">L11-H11</f>
        <v>0</v>
      </c>
      <c r="N11" s="246"/>
    </row>
    <row r="12" spans="1:15" ht="29.25" customHeight="1" x14ac:dyDescent="0.45">
      <c r="A12" s="262" t="s">
        <v>19</v>
      </c>
      <c r="B12" s="477" t="s">
        <v>148</v>
      </c>
      <c r="C12" s="477"/>
      <c r="D12" s="477"/>
      <c r="E12" s="477"/>
      <c r="F12" s="477"/>
      <c r="G12" s="477"/>
      <c r="H12" s="249">
        <v>20977.599999999999</v>
      </c>
      <c r="I12" s="248">
        <v>20977.599999999999</v>
      </c>
      <c r="J12" s="269">
        <v>20542.09418</v>
      </c>
      <c r="K12" s="269">
        <v>22427.8</v>
      </c>
      <c r="L12" s="248">
        <v>25870.5</v>
      </c>
      <c r="M12" s="249">
        <f t="shared" si="1"/>
        <v>4892.9000000000015</v>
      </c>
      <c r="N12" s="246"/>
    </row>
    <row r="13" spans="1:15" ht="21.75" customHeight="1" x14ac:dyDescent="0.45">
      <c r="A13" s="262" t="s">
        <v>20</v>
      </c>
      <c r="B13" s="471" t="s">
        <v>23</v>
      </c>
      <c r="C13" s="471"/>
      <c r="D13" s="471"/>
      <c r="E13" s="471"/>
      <c r="F13" s="471"/>
      <c r="G13" s="471"/>
      <c r="H13" s="247">
        <f>H15+H16+H14+H17</f>
        <v>21222.5</v>
      </c>
      <c r="I13" s="247">
        <f t="shared" ref="I13:M13" si="2">I15+I16+I14+I17</f>
        <v>21222.5</v>
      </c>
      <c r="J13" s="268">
        <f t="shared" si="2"/>
        <v>17409.115980000002</v>
      </c>
      <c r="K13" s="268">
        <f t="shared" si="2"/>
        <v>18604.640970000004</v>
      </c>
      <c r="L13" s="247">
        <f t="shared" si="2"/>
        <v>20889.096140000001</v>
      </c>
      <c r="M13" s="247">
        <f t="shared" si="2"/>
        <v>-333.40386000000012</v>
      </c>
      <c r="N13" s="246"/>
    </row>
    <row r="14" spans="1:15" ht="43.5" customHeight="1" x14ac:dyDescent="0.45">
      <c r="A14" s="261" t="s">
        <v>131</v>
      </c>
      <c r="B14" s="477" t="s">
        <v>81</v>
      </c>
      <c r="C14" s="477"/>
      <c r="D14" s="477"/>
      <c r="E14" s="477"/>
      <c r="F14" s="477"/>
      <c r="G14" s="477"/>
      <c r="H14" s="249">
        <v>2504</v>
      </c>
      <c r="I14" s="249">
        <f>H14</f>
        <v>2504</v>
      </c>
      <c r="J14" s="270">
        <v>1130.5438799999997</v>
      </c>
      <c r="K14" s="270">
        <v>1287.7</v>
      </c>
      <c r="L14" s="249">
        <v>2113.1</v>
      </c>
      <c r="M14" s="249">
        <f t="shared" ref="M14:M22" si="3">L14-H14</f>
        <v>-390.90000000000009</v>
      </c>
      <c r="N14" s="246"/>
    </row>
    <row r="15" spans="1:15" ht="22.5" customHeight="1" x14ac:dyDescent="0.45">
      <c r="A15" s="258" t="s">
        <v>132</v>
      </c>
      <c r="B15" s="258" t="s">
        <v>113</v>
      </c>
      <c r="C15" s="258"/>
      <c r="D15" s="258"/>
      <c r="E15" s="258"/>
      <c r="F15" s="258"/>
      <c r="G15" s="258"/>
      <c r="H15" s="249">
        <v>18693.5</v>
      </c>
      <c r="I15" s="249">
        <v>18693.5</v>
      </c>
      <c r="J15" s="270">
        <v>16078.531129999999</v>
      </c>
      <c r="K15" s="270">
        <v>17116.900000000001</v>
      </c>
      <c r="L15" s="249">
        <v>18576</v>
      </c>
      <c r="M15" s="249">
        <f t="shared" si="3"/>
        <v>-117.5</v>
      </c>
      <c r="N15" s="246"/>
      <c r="O15" s="202"/>
    </row>
    <row r="16" spans="1:15" ht="22.5" customHeight="1" x14ac:dyDescent="0.45">
      <c r="A16" s="258" t="s">
        <v>26</v>
      </c>
      <c r="B16" s="258" t="s">
        <v>92</v>
      </c>
      <c r="C16" s="258"/>
      <c r="D16" s="258"/>
      <c r="E16" s="258"/>
      <c r="F16" s="258"/>
      <c r="G16" s="258"/>
      <c r="H16" s="249">
        <v>25</v>
      </c>
      <c r="I16" s="249">
        <f t="shared" ref="I16:I17" si="4">H16</f>
        <v>25</v>
      </c>
      <c r="J16" s="270">
        <v>239.44483000000002</v>
      </c>
      <c r="K16" s="270">
        <f>J16</f>
        <v>239.44483000000002</v>
      </c>
      <c r="L16" s="249">
        <v>239.4</v>
      </c>
      <c r="M16" s="249">
        <f t="shared" si="3"/>
        <v>214.4</v>
      </c>
      <c r="N16" s="246"/>
    </row>
    <row r="17" spans="1:14" ht="21" customHeight="1" x14ac:dyDescent="0.45">
      <c r="A17" s="263" t="s">
        <v>144</v>
      </c>
      <c r="B17" s="258" t="s">
        <v>3</v>
      </c>
      <c r="C17" s="258"/>
      <c r="D17" s="258"/>
      <c r="E17" s="258"/>
      <c r="F17" s="258"/>
      <c r="G17" s="258"/>
      <c r="H17" s="249">
        <v>0</v>
      </c>
      <c r="I17" s="249">
        <f t="shared" si="4"/>
        <v>0</v>
      </c>
      <c r="J17" s="270">
        <v>-39.403860000000009</v>
      </c>
      <c r="K17" s="270">
        <f>J17</f>
        <v>-39.403860000000009</v>
      </c>
      <c r="L17" s="249">
        <f>K17</f>
        <v>-39.403860000000009</v>
      </c>
      <c r="M17" s="249">
        <f t="shared" si="3"/>
        <v>-39.403860000000009</v>
      </c>
      <c r="N17" s="246"/>
    </row>
    <row r="18" spans="1:14" ht="24.75" customHeight="1" x14ac:dyDescent="0.45">
      <c r="A18" s="275" t="s">
        <v>21</v>
      </c>
      <c r="B18" s="487" t="s">
        <v>149</v>
      </c>
      <c r="C18" s="487"/>
      <c r="D18" s="487"/>
      <c r="E18" s="487"/>
      <c r="F18" s="487"/>
      <c r="G18" s="487"/>
      <c r="H18" s="247">
        <f>SUM(H19:H20)</f>
        <v>19294.099999999999</v>
      </c>
      <c r="I18" s="247">
        <f>SUM(I19:I20)</f>
        <v>19294.099999999999</v>
      </c>
      <c r="J18" s="268">
        <f t="shared" ref="J18:L18" si="5">SUM(J19:J20)</f>
        <v>10371.07641</v>
      </c>
      <c r="K18" s="268">
        <f t="shared" si="5"/>
        <v>11723.9</v>
      </c>
      <c r="L18" s="247">
        <f t="shared" si="5"/>
        <v>22018.3</v>
      </c>
      <c r="M18" s="247">
        <f t="shared" si="3"/>
        <v>2724.2000000000007</v>
      </c>
      <c r="N18" s="246"/>
    </row>
    <row r="19" spans="1:14" ht="22.5" customHeight="1" x14ac:dyDescent="0.45">
      <c r="A19" s="258" t="s">
        <v>145</v>
      </c>
      <c r="B19" s="486" t="s">
        <v>129</v>
      </c>
      <c r="C19" s="486"/>
      <c r="D19" s="486"/>
      <c r="E19" s="486"/>
      <c r="F19" s="486"/>
      <c r="G19" s="486"/>
      <c r="H19" s="249">
        <v>8521.1</v>
      </c>
      <c r="I19" s="249">
        <v>8521.1</v>
      </c>
      <c r="J19" s="270">
        <v>4264.2655799999993</v>
      </c>
      <c r="K19" s="270">
        <v>5041.7</v>
      </c>
      <c r="L19" s="249">
        <f>9747.6-238.7</f>
        <v>9508.9</v>
      </c>
      <c r="M19" s="249">
        <f t="shared" si="3"/>
        <v>987.79999999999927</v>
      </c>
      <c r="N19" s="246"/>
    </row>
    <row r="20" spans="1:14" ht="21" customHeight="1" x14ac:dyDescent="0.45">
      <c r="A20" s="258" t="s">
        <v>146</v>
      </c>
      <c r="B20" s="477" t="s">
        <v>130</v>
      </c>
      <c r="C20" s="477"/>
      <c r="D20" s="477"/>
      <c r="E20" s="477"/>
      <c r="F20" s="477"/>
      <c r="G20" s="477"/>
      <c r="H20" s="249">
        <v>10773</v>
      </c>
      <c r="I20" s="249">
        <v>10773</v>
      </c>
      <c r="J20" s="270">
        <v>6106.8108300000004</v>
      </c>
      <c r="K20" s="270">
        <v>6682.2</v>
      </c>
      <c r="L20" s="249">
        <v>12509.4</v>
      </c>
      <c r="M20" s="249">
        <f t="shared" si="3"/>
        <v>1736.3999999999996</v>
      </c>
      <c r="N20" s="246"/>
    </row>
    <row r="21" spans="1:14" ht="22.5" customHeight="1" x14ac:dyDescent="0.45">
      <c r="A21" s="259" t="s">
        <v>133</v>
      </c>
      <c r="B21" s="471" t="s">
        <v>150</v>
      </c>
      <c r="C21" s="471"/>
      <c r="D21" s="471"/>
      <c r="E21" s="471"/>
      <c r="F21" s="471"/>
      <c r="G21" s="471"/>
      <c r="H21" s="247">
        <v>1471.9</v>
      </c>
      <c r="I21" s="247">
        <f>H21</f>
        <v>1471.9</v>
      </c>
      <c r="J21" s="268">
        <v>916.6796599999999</v>
      </c>
      <c r="K21" s="268">
        <v>1041.3</v>
      </c>
      <c r="L21" s="247">
        <v>1192.7</v>
      </c>
      <c r="M21" s="247">
        <f t="shared" si="3"/>
        <v>-279.20000000000005</v>
      </c>
      <c r="N21" s="246"/>
    </row>
    <row r="22" spans="1:14" x14ac:dyDescent="0.45">
      <c r="A22" s="259" t="s">
        <v>147</v>
      </c>
      <c r="B22" s="471" t="s">
        <v>41</v>
      </c>
      <c r="C22" s="471"/>
      <c r="D22" s="471"/>
      <c r="E22" s="471"/>
      <c r="F22" s="471"/>
      <c r="G22" s="471"/>
      <c r="H22" s="247">
        <v>0</v>
      </c>
      <c r="I22" s="247">
        <v>0</v>
      </c>
      <c r="J22" s="268">
        <v>0.18709999999999999</v>
      </c>
      <c r="K22" s="268">
        <f>J22</f>
        <v>0.18709999999999999</v>
      </c>
      <c r="L22" s="247">
        <f>J22</f>
        <v>0.18709999999999999</v>
      </c>
      <c r="M22" s="247">
        <f t="shared" si="3"/>
        <v>0.18709999999999999</v>
      </c>
      <c r="N22" s="250"/>
    </row>
    <row r="23" spans="1:14" ht="27" customHeight="1" x14ac:dyDescent="0.45">
      <c r="A23" s="266" t="s">
        <v>7</v>
      </c>
      <c r="B23" s="474" t="s">
        <v>31</v>
      </c>
      <c r="C23" s="474"/>
      <c r="D23" s="474"/>
      <c r="E23" s="474"/>
      <c r="F23" s="474"/>
      <c r="G23" s="474"/>
      <c r="H23" s="247">
        <f t="shared" ref="H23:M23" si="6">SUM(H25+H31+H32+H35+H40+H41+H42+H43)</f>
        <v>29511.699999999997</v>
      </c>
      <c r="I23" s="247">
        <f t="shared" si="6"/>
        <v>35197.700000000004</v>
      </c>
      <c r="J23" s="247">
        <f t="shared" si="6"/>
        <v>33390.694629999998</v>
      </c>
      <c r="K23" s="247">
        <f t="shared" si="6"/>
        <v>36564.256819999995</v>
      </c>
      <c r="L23" s="247">
        <f t="shared" si="6"/>
        <v>39670.191819999993</v>
      </c>
      <c r="M23" s="247">
        <f t="shared" si="6"/>
        <v>9914.5918199999996</v>
      </c>
      <c r="N23" s="246"/>
    </row>
    <row r="24" spans="1:14" ht="22.5" customHeight="1" x14ac:dyDescent="0.45">
      <c r="A24" s="258"/>
      <c r="B24" s="259" t="s">
        <v>2</v>
      </c>
      <c r="C24" s="259"/>
      <c r="D24" s="259"/>
      <c r="E24" s="259"/>
      <c r="F24" s="259"/>
      <c r="G24" s="259"/>
      <c r="H24" s="247"/>
      <c r="I24" s="247"/>
      <c r="J24" s="268"/>
      <c r="K24" s="268"/>
      <c r="L24" s="247"/>
      <c r="M24" s="247"/>
      <c r="N24" s="246"/>
    </row>
    <row r="25" spans="1:14" ht="40.5" customHeight="1" x14ac:dyDescent="0.45">
      <c r="A25" s="271" t="s">
        <v>9</v>
      </c>
      <c r="B25" s="471" t="s">
        <v>17</v>
      </c>
      <c r="C25" s="471"/>
      <c r="D25" s="471"/>
      <c r="E25" s="471"/>
      <c r="F25" s="471"/>
      <c r="G25" s="471"/>
      <c r="H25" s="247">
        <f>SUM(H26:H30)</f>
        <v>11800.8</v>
      </c>
      <c r="I25" s="247">
        <f t="shared" ref="I25:M25" si="7">SUM(I26:I30)</f>
        <v>11800.8</v>
      </c>
      <c r="J25" s="247">
        <f t="shared" si="7"/>
        <v>9462.2701300000008</v>
      </c>
      <c r="K25" s="247">
        <f t="shared" si="7"/>
        <v>10888.7</v>
      </c>
      <c r="L25" s="247">
        <f t="shared" si="7"/>
        <v>12322</v>
      </c>
      <c r="M25" s="247">
        <f t="shared" si="7"/>
        <v>277.3</v>
      </c>
      <c r="N25" s="246"/>
    </row>
    <row r="26" spans="1:14" ht="31.5" customHeight="1" x14ac:dyDescent="0.45">
      <c r="A26" s="258" t="s">
        <v>9</v>
      </c>
      <c r="B26" s="477" t="s">
        <v>151</v>
      </c>
      <c r="C26" s="477"/>
      <c r="D26" s="477"/>
      <c r="E26" s="477"/>
      <c r="F26" s="477"/>
      <c r="G26" s="477"/>
      <c r="H26" s="249">
        <v>5646.2</v>
      </c>
      <c r="I26" s="249">
        <v>5646.2</v>
      </c>
      <c r="J26" s="270">
        <v>4295.8</v>
      </c>
      <c r="K26" s="270">
        <v>5217.8</v>
      </c>
      <c r="L26" s="249">
        <v>5701.1</v>
      </c>
      <c r="M26" s="249">
        <f t="shared" ref="M26:M54" si="8">L26-H26</f>
        <v>54.900000000000546</v>
      </c>
      <c r="N26" s="246"/>
    </row>
    <row r="27" spans="1:14" ht="32.25" customHeight="1" x14ac:dyDescent="0.45">
      <c r="A27" s="258" t="s">
        <v>10</v>
      </c>
      <c r="B27" s="477" t="s">
        <v>134</v>
      </c>
      <c r="C27" s="477"/>
      <c r="D27" s="477"/>
      <c r="E27" s="477"/>
      <c r="F27" s="477"/>
      <c r="G27" s="477"/>
      <c r="H27" s="249">
        <v>6053.3</v>
      </c>
      <c r="I27" s="249">
        <f>H27</f>
        <v>6053.3</v>
      </c>
      <c r="J27" s="270">
        <v>4612.8</v>
      </c>
      <c r="K27" s="270">
        <v>5116.8999999999996</v>
      </c>
      <c r="L27" s="249">
        <v>6066.9</v>
      </c>
      <c r="M27" s="249">
        <f t="shared" si="8"/>
        <v>13.599999999999454</v>
      </c>
      <c r="N27" s="246"/>
    </row>
    <row r="28" spans="1:14" x14ac:dyDescent="0.45">
      <c r="A28" s="258" t="s">
        <v>11</v>
      </c>
      <c r="B28" s="477" t="s">
        <v>44</v>
      </c>
      <c r="C28" s="477"/>
      <c r="D28" s="477"/>
      <c r="E28" s="477"/>
      <c r="F28" s="477"/>
      <c r="G28" s="477"/>
      <c r="H28" s="249">
        <v>100</v>
      </c>
      <c r="I28" s="249">
        <f t="shared" ref="I28:I29" si="9">H28</f>
        <v>100</v>
      </c>
      <c r="J28" s="270">
        <v>183.6</v>
      </c>
      <c r="K28" s="270">
        <f>J28</f>
        <v>183.6</v>
      </c>
      <c r="L28" s="249">
        <f>K28</f>
        <v>183.6</v>
      </c>
      <c r="M28" s="251">
        <f>L28-H28</f>
        <v>83.6</v>
      </c>
      <c r="N28" s="250"/>
    </row>
    <row r="29" spans="1:14" x14ac:dyDescent="0.45">
      <c r="A29" s="258" t="s">
        <v>12</v>
      </c>
      <c r="B29" s="477" t="s">
        <v>46</v>
      </c>
      <c r="C29" s="477"/>
      <c r="D29" s="477"/>
      <c r="E29" s="477"/>
      <c r="F29" s="477"/>
      <c r="G29" s="477"/>
      <c r="H29" s="249">
        <v>1.3</v>
      </c>
      <c r="I29" s="249">
        <f t="shared" si="9"/>
        <v>1.3</v>
      </c>
      <c r="J29" s="270">
        <v>126.17841000000001</v>
      </c>
      <c r="K29" s="270">
        <v>126.5</v>
      </c>
      <c r="L29" s="249">
        <f>K29</f>
        <v>126.5</v>
      </c>
      <c r="M29" s="251">
        <f t="shared" si="8"/>
        <v>125.2</v>
      </c>
      <c r="N29" s="250"/>
    </row>
    <row r="30" spans="1:14" ht="24" customHeight="1" x14ac:dyDescent="0.45">
      <c r="A30" s="276" t="s">
        <v>13</v>
      </c>
      <c r="B30" s="477" t="s">
        <v>137</v>
      </c>
      <c r="C30" s="477"/>
      <c r="D30" s="477"/>
      <c r="E30" s="477"/>
      <c r="F30" s="477"/>
      <c r="G30" s="477"/>
      <c r="H30" s="249"/>
      <c r="I30" s="249"/>
      <c r="J30" s="270">
        <v>243.89171999999999</v>
      </c>
      <c r="K30" s="270">
        <v>243.9</v>
      </c>
      <c r="L30" s="249">
        <v>243.9</v>
      </c>
      <c r="M30" s="251"/>
      <c r="N30" s="250"/>
    </row>
    <row r="31" spans="1:14" x14ac:dyDescent="0.45">
      <c r="A31" s="262" t="s">
        <v>10</v>
      </c>
      <c r="B31" s="471" t="s">
        <v>30</v>
      </c>
      <c r="C31" s="471"/>
      <c r="D31" s="471"/>
      <c r="E31" s="471"/>
      <c r="F31" s="471"/>
      <c r="G31" s="471"/>
      <c r="H31" s="247">
        <v>57.7</v>
      </c>
      <c r="I31" s="247">
        <f>H31</f>
        <v>57.7</v>
      </c>
      <c r="J31" s="268">
        <v>33.821000000000005</v>
      </c>
      <c r="K31" s="268">
        <v>35.200000000000003</v>
      </c>
      <c r="L31" s="247">
        <v>36.700000000000003</v>
      </c>
      <c r="M31" s="252">
        <f t="shared" si="8"/>
        <v>-21</v>
      </c>
      <c r="N31" s="250"/>
    </row>
    <row r="32" spans="1:14" ht="45.75" customHeight="1" x14ac:dyDescent="0.45">
      <c r="A32" s="262" t="s">
        <v>11</v>
      </c>
      <c r="B32" s="471" t="s">
        <v>72</v>
      </c>
      <c r="C32" s="471"/>
      <c r="D32" s="471"/>
      <c r="E32" s="471"/>
      <c r="F32" s="471"/>
      <c r="G32" s="471"/>
      <c r="H32" s="247">
        <f>H33+H34</f>
        <v>15644.3</v>
      </c>
      <c r="I32" s="247">
        <f t="shared" ref="I32:L32" si="10">I33+I34</f>
        <v>19644.7</v>
      </c>
      <c r="J32" s="268">
        <f t="shared" si="10"/>
        <v>17910.065329999998</v>
      </c>
      <c r="K32" s="268">
        <f t="shared" si="10"/>
        <v>19480.5</v>
      </c>
      <c r="L32" s="247">
        <f t="shared" si="10"/>
        <v>20858.899999999998</v>
      </c>
      <c r="M32" s="252">
        <f t="shared" si="8"/>
        <v>5214.5999999999985</v>
      </c>
      <c r="N32" s="246"/>
    </row>
    <row r="33" spans="1:14" x14ac:dyDescent="0.45">
      <c r="A33" s="261" t="s">
        <v>33</v>
      </c>
      <c r="B33" s="477" t="s">
        <v>159</v>
      </c>
      <c r="C33" s="477"/>
      <c r="D33" s="477"/>
      <c r="E33" s="477"/>
      <c r="F33" s="477"/>
      <c r="G33" s="477"/>
      <c r="H33" s="253">
        <v>14751.4</v>
      </c>
      <c r="I33" s="249">
        <v>18751.8</v>
      </c>
      <c r="J33" s="270">
        <v>17277.8</v>
      </c>
      <c r="K33" s="270">
        <v>18695</v>
      </c>
      <c r="L33" s="249">
        <v>20055.8</v>
      </c>
      <c r="M33" s="251">
        <f t="shared" si="8"/>
        <v>5304.4</v>
      </c>
      <c r="N33" s="246"/>
    </row>
    <row r="34" spans="1:14" ht="45.75" customHeight="1" x14ac:dyDescent="0.45">
      <c r="A34" s="261" t="s">
        <v>34</v>
      </c>
      <c r="B34" s="477" t="s">
        <v>76</v>
      </c>
      <c r="C34" s="477"/>
      <c r="D34" s="477"/>
      <c r="E34" s="477"/>
      <c r="F34" s="477"/>
      <c r="G34" s="477"/>
      <c r="H34" s="254">
        <v>892.9</v>
      </c>
      <c r="I34" s="249">
        <f>H34</f>
        <v>892.9</v>
      </c>
      <c r="J34" s="270">
        <v>632.26533000000006</v>
      </c>
      <c r="K34" s="270">
        <v>785.5</v>
      </c>
      <c r="L34" s="249">
        <v>803.1</v>
      </c>
      <c r="M34" s="251">
        <f t="shared" si="8"/>
        <v>-89.799999999999955</v>
      </c>
      <c r="N34" s="246"/>
    </row>
    <row r="35" spans="1:14" ht="44.25" customHeight="1" x14ac:dyDescent="0.45">
      <c r="A35" s="259" t="s">
        <v>12</v>
      </c>
      <c r="B35" s="471" t="s">
        <v>36</v>
      </c>
      <c r="C35" s="471"/>
      <c r="D35" s="471"/>
      <c r="E35" s="471"/>
      <c r="F35" s="471"/>
      <c r="G35" s="471"/>
      <c r="H35" s="247">
        <f>SUM(H36:H39)</f>
        <v>1457.6</v>
      </c>
      <c r="I35" s="247">
        <f t="shared" ref="I35:M35" si="11">SUM(I36:I39)</f>
        <v>1457.6</v>
      </c>
      <c r="J35" s="247">
        <f t="shared" si="11"/>
        <v>3654.1457099999998</v>
      </c>
      <c r="K35" s="247">
        <f t="shared" si="11"/>
        <v>3804.19182</v>
      </c>
      <c r="L35" s="247">
        <f t="shared" si="11"/>
        <v>3900.19182</v>
      </c>
      <c r="M35" s="247">
        <f t="shared" si="11"/>
        <v>2442.5918200000001</v>
      </c>
      <c r="N35" s="246"/>
    </row>
    <row r="36" spans="1:14" ht="29.25" customHeight="1" x14ac:dyDescent="0.45">
      <c r="A36" s="258" t="s">
        <v>152</v>
      </c>
      <c r="B36" s="477" t="s">
        <v>140</v>
      </c>
      <c r="C36" s="477"/>
      <c r="D36" s="477"/>
      <c r="E36" s="477"/>
      <c r="F36" s="477"/>
      <c r="G36" s="477"/>
      <c r="H36" s="249">
        <v>100</v>
      </c>
      <c r="I36" s="249">
        <f>H36</f>
        <v>100</v>
      </c>
      <c r="J36" s="270">
        <v>1285.4618599999999</v>
      </c>
      <c r="K36" s="270">
        <v>1335.5</v>
      </c>
      <c r="L36" s="249">
        <f>K36</f>
        <v>1335.5</v>
      </c>
      <c r="M36" s="251">
        <f t="shared" si="8"/>
        <v>1235.5</v>
      </c>
      <c r="N36" s="246"/>
    </row>
    <row r="37" spans="1:14" ht="21.75" customHeight="1" x14ac:dyDescent="0.45">
      <c r="A37" s="258" t="s">
        <v>153</v>
      </c>
      <c r="B37" s="477" t="s">
        <v>135</v>
      </c>
      <c r="C37" s="477"/>
      <c r="D37" s="477"/>
      <c r="E37" s="477"/>
      <c r="F37" s="477"/>
      <c r="G37" s="477"/>
      <c r="H37" s="249">
        <v>1000</v>
      </c>
      <c r="I37" s="249">
        <f t="shared" ref="I37:I38" si="12">H37</f>
        <v>1000</v>
      </c>
      <c r="J37" s="270">
        <v>1639.8540899999998</v>
      </c>
      <c r="K37" s="270">
        <v>1709.9</v>
      </c>
      <c r="L37" s="249">
        <v>1779.9</v>
      </c>
      <c r="M37" s="251">
        <f t="shared" si="8"/>
        <v>779.90000000000009</v>
      </c>
      <c r="N37" s="246"/>
    </row>
    <row r="38" spans="1:14" ht="106.5" customHeight="1" x14ac:dyDescent="0.45">
      <c r="A38" s="258" t="s">
        <v>157</v>
      </c>
      <c r="B38" s="477" t="s">
        <v>79</v>
      </c>
      <c r="C38" s="477"/>
      <c r="D38" s="477"/>
      <c r="E38" s="477"/>
      <c r="F38" s="477"/>
      <c r="G38" s="477"/>
      <c r="H38" s="249">
        <v>357.6</v>
      </c>
      <c r="I38" s="249">
        <f t="shared" si="12"/>
        <v>357.6</v>
      </c>
      <c r="J38" s="270">
        <v>690.63793999999996</v>
      </c>
      <c r="K38" s="270">
        <v>720.6</v>
      </c>
      <c r="L38" s="249">
        <v>746.6</v>
      </c>
      <c r="M38" s="251">
        <f t="shared" si="8"/>
        <v>389</v>
      </c>
      <c r="N38" s="246"/>
    </row>
    <row r="39" spans="1:14" ht="84.75" customHeight="1" x14ac:dyDescent="0.45">
      <c r="A39" s="258" t="s">
        <v>158</v>
      </c>
      <c r="B39" s="477" t="s">
        <v>105</v>
      </c>
      <c r="C39" s="477"/>
      <c r="D39" s="477"/>
      <c r="E39" s="477"/>
      <c r="F39" s="477"/>
      <c r="G39" s="477"/>
      <c r="H39" s="249">
        <v>0</v>
      </c>
      <c r="I39" s="249">
        <v>0</v>
      </c>
      <c r="J39" s="270">
        <v>38.19182</v>
      </c>
      <c r="K39" s="270">
        <f>J39</f>
        <v>38.19182</v>
      </c>
      <c r="L39" s="249">
        <f>J39</f>
        <v>38.19182</v>
      </c>
      <c r="M39" s="251">
        <f t="shared" si="8"/>
        <v>38.19182</v>
      </c>
      <c r="N39" s="246"/>
    </row>
    <row r="40" spans="1:14" ht="21.75" customHeight="1" x14ac:dyDescent="0.45">
      <c r="A40" s="259" t="s">
        <v>13</v>
      </c>
      <c r="B40" s="478" t="s">
        <v>6</v>
      </c>
      <c r="C40" s="478"/>
      <c r="D40" s="478"/>
      <c r="E40" s="478"/>
      <c r="F40" s="478"/>
      <c r="G40" s="478"/>
      <c r="H40" s="247">
        <v>551.29999999999995</v>
      </c>
      <c r="I40" s="247">
        <v>551.29999999999995</v>
      </c>
      <c r="J40" s="268">
        <v>450.25216999999998</v>
      </c>
      <c r="K40" s="268">
        <v>475.5</v>
      </c>
      <c r="L40" s="247">
        <v>672.2</v>
      </c>
      <c r="M40" s="252">
        <f t="shared" si="8"/>
        <v>120.90000000000009</v>
      </c>
      <c r="N40" s="246"/>
    </row>
    <row r="41" spans="1:14" ht="20.25" customHeight="1" x14ac:dyDescent="0.45">
      <c r="A41" s="259" t="s">
        <v>14</v>
      </c>
      <c r="B41" s="471" t="s">
        <v>155</v>
      </c>
      <c r="C41" s="471"/>
      <c r="D41" s="471"/>
      <c r="E41" s="471"/>
      <c r="F41" s="471"/>
      <c r="G41" s="471"/>
      <c r="H41" s="247">
        <v>0</v>
      </c>
      <c r="I41" s="247">
        <v>0</v>
      </c>
      <c r="J41" s="268">
        <v>174.965</v>
      </c>
      <c r="K41" s="268">
        <f t="shared" ref="K41" si="13">J41</f>
        <v>174.965</v>
      </c>
      <c r="L41" s="247">
        <v>175</v>
      </c>
      <c r="M41" s="252">
        <f t="shared" si="8"/>
        <v>175</v>
      </c>
      <c r="N41" s="246"/>
    </row>
    <row r="42" spans="1:14" ht="19.5" customHeight="1" x14ac:dyDescent="0.45">
      <c r="A42" s="259" t="s">
        <v>154</v>
      </c>
      <c r="B42" s="479" t="s">
        <v>15</v>
      </c>
      <c r="C42" s="479"/>
      <c r="D42" s="479"/>
      <c r="E42" s="479"/>
      <c r="F42" s="479"/>
      <c r="G42" s="479"/>
      <c r="H42" s="247">
        <v>0</v>
      </c>
      <c r="I42" s="247">
        <v>0</v>
      </c>
      <c r="J42" s="268">
        <v>19.592300000000058</v>
      </c>
      <c r="K42" s="268">
        <v>19.600000000000001</v>
      </c>
      <c r="L42" s="247">
        <v>19.600000000000001</v>
      </c>
      <c r="M42" s="252">
        <f t="shared" si="8"/>
        <v>19.600000000000001</v>
      </c>
      <c r="N42" s="250"/>
    </row>
    <row r="43" spans="1:14" ht="21" customHeight="1" x14ac:dyDescent="0.45">
      <c r="A43" s="262" t="s">
        <v>156</v>
      </c>
      <c r="B43" s="471" t="s">
        <v>136</v>
      </c>
      <c r="C43" s="471"/>
      <c r="D43" s="471"/>
      <c r="E43" s="471"/>
      <c r="F43" s="471"/>
      <c r="G43" s="471"/>
      <c r="H43" s="247">
        <v>0</v>
      </c>
      <c r="I43" s="247">
        <v>1685.6</v>
      </c>
      <c r="J43" s="268">
        <v>1685.5829899999999</v>
      </c>
      <c r="K43" s="268">
        <v>1685.6</v>
      </c>
      <c r="L43" s="247">
        <f>K43</f>
        <v>1685.6</v>
      </c>
      <c r="M43" s="252">
        <f t="shared" si="8"/>
        <v>1685.6</v>
      </c>
      <c r="N43" s="246"/>
    </row>
    <row r="44" spans="1:14" ht="21.75" customHeight="1" x14ac:dyDescent="0.45">
      <c r="A44" s="264"/>
      <c r="B44" s="480" t="s">
        <v>32</v>
      </c>
      <c r="C44" s="480"/>
      <c r="D44" s="480"/>
      <c r="E44" s="480"/>
      <c r="F44" s="480"/>
      <c r="G44" s="480"/>
      <c r="H44" s="247">
        <f t="shared" ref="H44:M44" si="14">SUM(H7+H23)</f>
        <v>237045.09999999998</v>
      </c>
      <c r="I44" s="247">
        <f t="shared" si="14"/>
        <v>243177.60000000001</v>
      </c>
      <c r="J44" s="247">
        <f t="shared" si="14"/>
        <v>211629.44106000004</v>
      </c>
      <c r="K44" s="247">
        <f t="shared" si="14"/>
        <v>230509.58489</v>
      </c>
      <c r="L44" s="247">
        <f t="shared" si="14"/>
        <v>271368.97506000003</v>
      </c>
      <c r="M44" s="247">
        <f t="shared" si="14"/>
        <v>34079.975060000012</v>
      </c>
      <c r="N44" s="277">
        <f>SUM(L44-I44)</f>
        <v>28191.37506000002</v>
      </c>
    </row>
    <row r="45" spans="1:14" ht="21" customHeight="1" x14ac:dyDescent="0.45">
      <c r="A45" s="266" t="s">
        <v>40</v>
      </c>
      <c r="B45" s="474" t="s">
        <v>56</v>
      </c>
      <c r="C45" s="474"/>
      <c r="D45" s="474"/>
      <c r="E45" s="474"/>
      <c r="F45" s="474"/>
      <c r="G45" s="474"/>
      <c r="H45" s="247">
        <f>H46+H53+H51+H52</f>
        <v>750722.40000000014</v>
      </c>
      <c r="I45" s="247">
        <f t="shared" ref="I45" si="15">I46+I53+I51+I52</f>
        <v>964673.74490000005</v>
      </c>
      <c r="J45" s="268">
        <f>J46+J53+J51+J52</f>
        <v>810871.57975999999</v>
      </c>
      <c r="K45" s="268">
        <f t="shared" ref="K45:M45" si="16">K46+K53+K51+K52</f>
        <v>810871.57975999999</v>
      </c>
      <c r="L45" s="247">
        <f t="shared" si="16"/>
        <v>964673.74490000005</v>
      </c>
      <c r="M45" s="257">
        <f t="shared" si="16"/>
        <v>213951.34489999988</v>
      </c>
      <c r="N45" s="246"/>
    </row>
    <row r="46" spans="1:14" x14ac:dyDescent="0.45">
      <c r="A46" s="267" t="s">
        <v>47</v>
      </c>
      <c r="B46" s="483" t="s">
        <v>65</v>
      </c>
      <c r="C46" s="483"/>
      <c r="D46" s="483"/>
      <c r="E46" s="483"/>
      <c r="F46" s="483"/>
      <c r="G46" s="483"/>
      <c r="H46" s="247">
        <f>SUM(H47:H50)</f>
        <v>750722.40000000014</v>
      </c>
      <c r="I46" s="247">
        <f>SUM(I47:I50)</f>
        <v>964227.08169000002</v>
      </c>
      <c r="J46" s="268">
        <f>SUM(J47:J50)</f>
        <v>810424.91654999997</v>
      </c>
      <c r="K46" s="268">
        <f>SUM(K47:K50)</f>
        <v>810424.91654999997</v>
      </c>
      <c r="L46" s="247">
        <f>SUM(L47:L50)</f>
        <v>964227.08169000002</v>
      </c>
      <c r="M46" s="247">
        <f>L46-H46</f>
        <v>213504.68168999988</v>
      </c>
      <c r="N46" s="246"/>
    </row>
    <row r="47" spans="1:14" ht="19.5" customHeight="1" x14ac:dyDescent="0.45">
      <c r="A47" s="267" t="s">
        <v>66</v>
      </c>
      <c r="B47" s="481" t="s">
        <v>57</v>
      </c>
      <c r="C47" s="481"/>
      <c r="D47" s="481"/>
      <c r="E47" s="481"/>
      <c r="F47" s="481"/>
      <c r="G47" s="481"/>
      <c r="H47" s="249">
        <v>367975.3</v>
      </c>
      <c r="I47" s="249">
        <v>367975.3</v>
      </c>
      <c r="J47" s="270">
        <v>332851.44078</v>
      </c>
      <c r="K47" s="270">
        <f>J47</f>
        <v>332851.44078</v>
      </c>
      <c r="L47" s="249">
        <v>367975.3</v>
      </c>
      <c r="M47" s="249">
        <f>L47-H47</f>
        <v>0</v>
      </c>
      <c r="N47" s="246"/>
    </row>
    <row r="48" spans="1:14" ht="18.75" customHeight="1" x14ac:dyDescent="0.45">
      <c r="A48" s="267" t="s">
        <v>67</v>
      </c>
      <c r="B48" s="481" t="s">
        <v>59</v>
      </c>
      <c r="C48" s="481"/>
      <c r="D48" s="481"/>
      <c r="E48" s="481"/>
      <c r="F48" s="481"/>
      <c r="G48" s="481"/>
      <c r="H48" s="249">
        <v>54706.400000000001</v>
      </c>
      <c r="I48" s="249">
        <v>259713.66734000001</v>
      </c>
      <c r="J48" s="270">
        <v>206203.50172999999</v>
      </c>
      <c r="K48" s="270">
        <f t="shared" ref="K48:K53" si="17">J48</f>
        <v>206203.50172999999</v>
      </c>
      <c r="L48" s="249">
        <f>I48</f>
        <v>259713.66734000001</v>
      </c>
      <c r="M48" s="249">
        <f>L48-H48</f>
        <v>205007.26734000002</v>
      </c>
      <c r="N48" s="246"/>
    </row>
    <row r="49" spans="1:14" ht="18.75" customHeight="1" x14ac:dyDescent="0.45">
      <c r="A49" s="267" t="s">
        <v>68</v>
      </c>
      <c r="B49" s="481" t="s">
        <v>60</v>
      </c>
      <c r="C49" s="481"/>
      <c r="D49" s="481"/>
      <c r="E49" s="481"/>
      <c r="F49" s="481"/>
      <c r="G49" s="481"/>
      <c r="H49" s="249">
        <v>327975.90000000002</v>
      </c>
      <c r="I49" s="249">
        <v>325651.12446000002</v>
      </c>
      <c r="J49" s="270">
        <v>261215.04683000001</v>
      </c>
      <c r="K49" s="270">
        <f t="shared" si="17"/>
        <v>261215.04683000001</v>
      </c>
      <c r="L49" s="249">
        <f>I49</f>
        <v>325651.12446000002</v>
      </c>
      <c r="M49" s="249">
        <f t="shared" si="8"/>
        <v>-2324.7755400000024</v>
      </c>
      <c r="N49" s="246"/>
    </row>
    <row r="50" spans="1:14" ht="17.25" customHeight="1" x14ac:dyDescent="0.45">
      <c r="A50" s="267" t="s">
        <v>69</v>
      </c>
      <c r="B50" s="481" t="s">
        <v>62</v>
      </c>
      <c r="C50" s="481"/>
      <c r="D50" s="481"/>
      <c r="E50" s="481"/>
      <c r="F50" s="481"/>
      <c r="G50" s="481"/>
      <c r="H50" s="249">
        <v>64.8</v>
      </c>
      <c r="I50" s="249">
        <v>10886.989890000001</v>
      </c>
      <c r="J50" s="270">
        <v>10154.92721</v>
      </c>
      <c r="K50" s="270">
        <f>J50</f>
        <v>10154.92721</v>
      </c>
      <c r="L50" s="249">
        <f>I50</f>
        <v>10886.989890000001</v>
      </c>
      <c r="M50" s="249">
        <f t="shared" si="8"/>
        <v>10822.189890000001</v>
      </c>
      <c r="N50" s="246"/>
    </row>
    <row r="51" spans="1:14" ht="60.75" customHeight="1" x14ac:dyDescent="0.45">
      <c r="A51" s="267" t="s">
        <v>58</v>
      </c>
      <c r="B51" s="481" t="s">
        <v>125</v>
      </c>
      <c r="C51" s="481"/>
      <c r="D51" s="481"/>
      <c r="E51" s="481"/>
      <c r="F51" s="481"/>
      <c r="G51" s="481"/>
      <c r="H51" s="249">
        <v>0</v>
      </c>
      <c r="I51" s="249">
        <v>0</v>
      </c>
      <c r="J51" s="249">
        <v>0</v>
      </c>
      <c r="K51" s="249">
        <f t="shared" si="17"/>
        <v>0</v>
      </c>
      <c r="L51" s="249">
        <f>J51</f>
        <v>0</v>
      </c>
      <c r="M51" s="249">
        <f t="shared" si="8"/>
        <v>0</v>
      </c>
      <c r="N51" s="246"/>
    </row>
    <row r="52" spans="1:14" ht="21.75" customHeight="1" x14ac:dyDescent="0.45">
      <c r="A52" s="267" t="s">
        <v>61</v>
      </c>
      <c r="B52" s="481" t="s">
        <v>74</v>
      </c>
      <c r="C52" s="481"/>
      <c r="D52" s="481"/>
      <c r="E52" s="481"/>
      <c r="F52" s="481"/>
      <c r="G52" s="481"/>
      <c r="H52" s="249">
        <v>0</v>
      </c>
      <c r="I52" s="249">
        <v>1078.3</v>
      </c>
      <c r="J52" s="249">
        <v>1078.3</v>
      </c>
      <c r="K52" s="249">
        <f t="shared" si="17"/>
        <v>1078.3</v>
      </c>
      <c r="L52" s="249">
        <f>J52</f>
        <v>1078.3</v>
      </c>
      <c r="M52" s="249">
        <f t="shared" si="8"/>
        <v>1078.3</v>
      </c>
      <c r="N52" s="246"/>
    </row>
    <row r="53" spans="1:14" ht="70.5" customHeight="1" x14ac:dyDescent="0.45">
      <c r="A53" s="267" t="s">
        <v>84</v>
      </c>
      <c r="B53" s="481" t="s">
        <v>78</v>
      </c>
      <c r="C53" s="481"/>
      <c r="D53" s="481"/>
      <c r="E53" s="481"/>
      <c r="F53" s="481"/>
      <c r="G53" s="481"/>
      <c r="H53" s="249">
        <v>0</v>
      </c>
      <c r="I53" s="249">
        <v>-631.63679000000002</v>
      </c>
      <c r="J53" s="249">
        <v>-631.63679000000002</v>
      </c>
      <c r="K53" s="249">
        <f t="shared" si="17"/>
        <v>-631.63679000000002</v>
      </c>
      <c r="L53" s="249">
        <f>J53</f>
        <v>-631.63679000000002</v>
      </c>
      <c r="M53" s="249">
        <f t="shared" si="8"/>
        <v>-631.63679000000002</v>
      </c>
      <c r="N53" s="246"/>
    </row>
    <row r="54" spans="1:14" ht="24" customHeight="1" x14ac:dyDescent="0.45">
      <c r="A54" s="264"/>
      <c r="B54" s="480" t="s">
        <v>64</v>
      </c>
      <c r="C54" s="480"/>
      <c r="D54" s="480"/>
      <c r="E54" s="480"/>
      <c r="F54" s="480"/>
      <c r="G54" s="480"/>
      <c r="H54" s="247">
        <f>H44+H45</f>
        <v>987767.50000000012</v>
      </c>
      <c r="I54" s="247">
        <f>I44+I45</f>
        <v>1207851.3449000001</v>
      </c>
      <c r="J54" s="247">
        <f>J44+J45</f>
        <v>1022501.02082</v>
      </c>
      <c r="K54" s="247">
        <f>K44+K45</f>
        <v>1041381.1646499999</v>
      </c>
      <c r="L54" s="247">
        <f>L44+L45</f>
        <v>1236042.7199600001</v>
      </c>
      <c r="M54" s="265">
        <f t="shared" si="8"/>
        <v>248275.21996000002</v>
      </c>
      <c r="N54" s="246"/>
    </row>
    <row r="55" spans="1:14" x14ac:dyDescent="0.45">
      <c r="A55" s="255"/>
      <c r="B55" s="482"/>
      <c r="C55" s="482"/>
      <c r="D55" s="482"/>
      <c r="E55" s="482"/>
      <c r="F55" s="482"/>
      <c r="G55" s="482"/>
      <c r="H55" s="482"/>
      <c r="I55" s="482"/>
      <c r="J55" s="482"/>
      <c r="K55" s="482"/>
      <c r="L55" s="482"/>
      <c r="M55" s="256"/>
      <c r="N55" s="246"/>
    </row>
  </sheetData>
  <mergeCells count="53">
    <mergeCell ref="A1:M2"/>
    <mergeCell ref="B11:G11"/>
    <mergeCell ref="B12:G12"/>
    <mergeCell ref="B19:G19"/>
    <mergeCell ref="B20:G20"/>
    <mergeCell ref="B18:G18"/>
    <mergeCell ref="J3:J6"/>
    <mergeCell ref="K3:K6"/>
    <mergeCell ref="L3:L6"/>
    <mergeCell ref="M3:M6"/>
    <mergeCell ref="B52:G52"/>
    <mergeCell ref="B53:G53"/>
    <mergeCell ref="B54:G54"/>
    <mergeCell ref="B55:L55"/>
    <mergeCell ref="B46:G46"/>
    <mergeCell ref="B47:G47"/>
    <mergeCell ref="B48:G48"/>
    <mergeCell ref="B49:G49"/>
    <mergeCell ref="B50:G50"/>
    <mergeCell ref="B51:G51"/>
    <mergeCell ref="B45:G45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B29:G29"/>
    <mergeCell ref="B31:G31"/>
    <mergeCell ref="B32:G32"/>
    <mergeCell ref="B33:G33"/>
    <mergeCell ref="B34:G34"/>
    <mergeCell ref="B30:G30"/>
    <mergeCell ref="B22:G22"/>
    <mergeCell ref="B23:G23"/>
    <mergeCell ref="B26:G26"/>
    <mergeCell ref="B27:G27"/>
    <mergeCell ref="B28:G28"/>
    <mergeCell ref="B25:G25"/>
    <mergeCell ref="B21:G21"/>
    <mergeCell ref="A3:A6"/>
    <mergeCell ref="B3:G6"/>
    <mergeCell ref="H3:H6"/>
    <mergeCell ref="I3:I6"/>
    <mergeCell ref="B7:G7"/>
    <mergeCell ref="B9:G9"/>
    <mergeCell ref="B10:G10"/>
    <mergeCell ref="B13:G13"/>
    <mergeCell ref="B14:G14"/>
  </mergeCells>
  <pageMargins left="0" right="0" top="0" bottom="0" header="0.31496062992125984" footer="0.31496062992125984"/>
  <pageSetup paperSize="9" scale="2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35" zoomScaleNormal="100" workbookViewId="0">
      <selection activeCell="L44" sqref="L44"/>
    </sheetView>
  </sheetViews>
  <sheetFormatPr defaultRowHeight="34.5" x14ac:dyDescent="0.45"/>
  <cols>
    <col min="1" max="1" width="6" style="187" customWidth="1"/>
    <col min="2" max="2" width="33.5703125" style="187" customWidth="1"/>
    <col min="3" max="3" width="9.140625" style="187" hidden="1" customWidth="1"/>
    <col min="4" max="4" width="23" style="187" hidden="1" customWidth="1"/>
    <col min="5" max="5" width="22.140625" style="187" hidden="1" customWidth="1"/>
    <col min="6" max="6" width="20" style="187" hidden="1" customWidth="1"/>
    <col min="7" max="7" width="34.7109375" style="187" hidden="1" customWidth="1"/>
    <col min="8" max="8" width="16.85546875" style="187" customWidth="1"/>
    <col min="9" max="9" width="15.28515625" style="187" customWidth="1"/>
    <col min="10" max="10" width="16.42578125" style="187" customWidth="1"/>
    <col min="11" max="11" width="15.7109375" style="187" customWidth="1"/>
    <col min="12" max="12" width="17.5703125" style="187" customWidth="1"/>
    <col min="13" max="13" width="18.85546875" style="187" customWidth="1"/>
    <col min="14" max="14" width="14.140625" style="187" customWidth="1"/>
    <col min="15" max="16" width="9.140625" style="187"/>
    <col min="17" max="17" width="42.85546875" style="187" customWidth="1"/>
    <col min="18" max="19" width="9.140625" style="187"/>
    <col min="20" max="20" width="42" style="187" customWidth="1"/>
    <col min="21" max="21" width="68.7109375" style="187" customWidth="1"/>
    <col min="22" max="16384" width="9.140625" style="187"/>
  </cols>
  <sheetData>
    <row r="1" spans="1:17" ht="33.75" customHeight="1" x14ac:dyDescent="0.45">
      <c r="A1" s="484" t="s">
        <v>160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246"/>
    </row>
    <row r="2" spans="1:17" hidden="1" x14ac:dyDescent="0.45">
      <c r="A2" s="485"/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246"/>
    </row>
    <row r="3" spans="1:17" x14ac:dyDescent="0.45">
      <c r="A3" s="274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 t="s">
        <v>161</v>
      </c>
      <c r="N3" s="246"/>
    </row>
    <row r="4" spans="1:17" x14ac:dyDescent="0.45">
      <c r="A4" s="472" t="s">
        <v>55</v>
      </c>
      <c r="B4" s="472" t="s">
        <v>0</v>
      </c>
      <c r="C4" s="472"/>
      <c r="D4" s="472"/>
      <c r="E4" s="472"/>
      <c r="F4" s="472"/>
      <c r="G4" s="472"/>
      <c r="H4" s="473" t="s">
        <v>162</v>
      </c>
      <c r="I4" s="473" t="s">
        <v>52</v>
      </c>
      <c r="J4" s="488" t="s">
        <v>163</v>
      </c>
      <c r="K4" s="489" t="s">
        <v>82</v>
      </c>
      <c r="L4" s="490" t="s">
        <v>164</v>
      </c>
      <c r="M4" s="473" t="s">
        <v>54</v>
      </c>
      <c r="N4" s="246"/>
    </row>
    <row r="5" spans="1:17" x14ac:dyDescent="0.45">
      <c r="A5" s="472"/>
      <c r="B5" s="472"/>
      <c r="C5" s="472"/>
      <c r="D5" s="472"/>
      <c r="E5" s="472"/>
      <c r="F5" s="472"/>
      <c r="G5" s="472"/>
      <c r="H5" s="473"/>
      <c r="I5" s="473"/>
      <c r="J5" s="488"/>
      <c r="K5" s="489"/>
      <c r="L5" s="490"/>
      <c r="M5" s="473"/>
      <c r="N5" s="246"/>
    </row>
    <row r="6" spans="1:17" ht="0.75" customHeight="1" x14ac:dyDescent="0.45">
      <c r="A6" s="472"/>
      <c r="B6" s="472"/>
      <c r="C6" s="472"/>
      <c r="D6" s="472"/>
      <c r="E6" s="472"/>
      <c r="F6" s="472"/>
      <c r="G6" s="472"/>
      <c r="H6" s="473"/>
      <c r="I6" s="473"/>
      <c r="J6" s="488"/>
      <c r="K6" s="489"/>
      <c r="L6" s="490"/>
      <c r="M6" s="473"/>
      <c r="N6" s="246"/>
    </row>
    <row r="7" spans="1:17" hidden="1" x14ac:dyDescent="0.45">
      <c r="A7" s="472"/>
      <c r="B7" s="472"/>
      <c r="C7" s="472"/>
      <c r="D7" s="472"/>
      <c r="E7" s="472"/>
      <c r="F7" s="472"/>
      <c r="G7" s="472"/>
      <c r="H7" s="473"/>
      <c r="I7" s="473"/>
      <c r="J7" s="488"/>
      <c r="K7" s="489"/>
      <c r="L7" s="490"/>
      <c r="M7" s="473"/>
      <c r="N7" s="246"/>
    </row>
    <row r="8" spans="1:17" ht="22.5" customHeight="1" x14ac:dyDescent="0.45">
      <c r="A8" s="266" t="s">
        <v>8</v>
      </c>
      <c r="B8" s="474" t="s">
        <v>1</v>
      </c>
      <c r="C8" s="474"/>
      <c r="D8" s="474"/>
      <c r="E8" s="474"/>
      <c r="F8" s="474"/>
      <c r="G8" s="474"/>
      <c r="H8" s="247">
        <f>SUM(H10+H13+H14+H19+H22+H23)</f>
        <v>233984.60000000003</v>
      </c>
      <c r="I8" s="247">
        <f t="shared" ref="I8:M8" si="0">SUM(I10+I13+I14+I19+I22+I23)</f>
        <v>259196.60000000003</v>
      </c>
      <c r="J8" s="247">
        <f t="shared" si="0"/>
        <v>211109.90000000002</v>
      </c>
      <c r="K8" s="247">
        <f t="shared" si="0"/>
        <v>210159.6</v>
      </c>
      <c r="L8" s="247">
        <f t="shared" si="0"/>
        <v>269182.3</v>
      </c>
      <c r="M8" s="247">
        <f t="shared" si="0"/>
        <v>35197.700000000004</v>
      </c>
      <c r="N8" s="246"/>
      <c r="Q8" s="284"/>
    </row>
    <row r="9" spans="1:17" ht="21" customHeight="1" x14ac:dyDescent="0.45">
      <c r="A9" s="258"/>
      <c r="B9" s="272" t="s">
        <v>48</v>
      </c>
      <c r="C9" s="272"/>
      <c r="D9" s="272"/>
      <c r="E9" s="272"/>
      <c r="F9" s="272"/>
      <c r="G9" s="272"/>
      <c r="H9" s="247"/>
      <c r="I9" s="260"/>
      <c r="J9" s="247"/>
      <c r="K9" s="247"/>
      <c r="L9" s="247"/>
      <c r="M9" s="252"/>
      <c r="N9" s="246"/>
      <c r="Q9" s="284"/>
    </row>
    <row r="10" spans="1:17" ht="18.75" customHeight="1" x14ac:dyDescent="0.45">
      <c r="A10" s="262" t="s">
        <v>18</v>
      </c>
      <c r="B10" s="471" t="s">
        <v>22</v>
      </c>
      <c r="C10" s="471"/>
      <c r="D10" s="471"/>
      <c r="E10" s="471"/>
      <c r="F10" s="471"/>
      <c r="G10" s="471"/>
      <c r="H10" s="247">
        <v>166615.4</v>
      </c>
      <c r="I10" s="247">
        <v>190928</v>
      </c>
      <c r="J10" s="268">
        <v>151341.70000000001</v>
      </c>
      <c r="K10" s="268">
        <v>140147.5</v>
      </c>
      <c r="L10" s="281">
        <f>SUM(I10+1103.5)</f>
        <v>192031.5</v>
      </c>
      <c r="M10" s="247">
        <f>L10-H10</f>
        <v>25416.100000000006</v>
      </c>
      <c r="N10" s="246"/>
      <c r="O10" s="202"/>
      <c r="Q10" s="284" t="s">
        <v>168</v>
      </c>
    </row>
    <row r="11" spans="1:17" ht="46.5" customHeight="1" x14ac:dyDescent="0.45">
      <c r="A11" s="261" t="s">
        <v>142</v>
      </c>
      <c r="B11" s="475" t="s">
        <v>70</v>
      </c>
      <c r="C11" s="476"/>
      <c r="D11" s="476"/>
      <c r="E11" s="476"/>
      <c r="F11" s="476"/>
      <c r="G11" s="476"/>
      <c r="H11" s="248">
        <v>841.3</v>
      </c>
      <c r="I11" s="248">
        <v>1697.9</v>
      </c>
      <c r="J11" s="269">
        <v>1711.2</v>
      </c>
      <c r="K11" s="269">
        <f>SUM(J11+29)</f>
        <v>1740.2</v>
      </c>
      <c r="L11" s="283">
        <f>SUM(K11+66.7)</f>
        <v>1806.9</v>
      </c>
      <c r="M11" s="249">
        <f>L11-H11</f>
        <v>965.60000000000014</v>
      </c>
      <c r="N11" s="246"/>
      <c r="Q11" s="284" t="s">
        <v>167</v>
      </c>
    </row>
    <row r="12" spans="1:17" ht="19.5" customHeight="1" x14ac:dyDescent="0.45">
      <c r="A12" s="261" t="s">
        <v>143</v>
      </c>
      <c r="B12" s="475" t="s">
        <v>128</v>
      </c>
      <c r="C12" s="475"/>
      <c r="D12" s="475"/>
      <c r="E12" s="475"/>
      <c r="F12" s="475"/>
      <c r="G12" s="475"/>
      <c r="H12" s="248">
        <v>0</v>
      </c>
      <c r="I12" s="248">
        <v>0</v>
      </c>
      <c r="J12" s="269">
        <v>0</v>
      </c>
      <c r="K12" s="269">
        <v>0</v>
      </c>
      <c r="L12" s="283">
        <v>0</v>
      </c>
      <c r="M12" s="249">
        <v>0</v>
      </c>
      <c r="N12" s="246"/>
      <c r="Q12" s="284"/>
    </row>
    <row r="13" spans="1:17" ht="29.25" customHeight="1" x14ac:dyDescent="0.45">
      <c r="A13" s="262" t="s">
        <v>19</v>
      </c>
      <c r="B13" s="477" t="s">
        <v>148</v>
      </c>
      <c r="C13" s="477"/>
      <c r="D13" s="477"/>
      <c r="E13" s="477"/>
      <c r="F13" s="477"/>
      <c r="G13" s="477"/>
      <c r="H13" s="249">
        <v>24790.7</v>
      </c>
      <c r="I13" s="248">
        <v>24790.7</v>
      </c>
      <c r="J13" s="269">
        <v>22195.599999999999</v>
      </c>
      <c r="K13" s="269">
        <f>SUM(J13+2082.4)</f>
        <v>24278</v>
      </c>
      <c r="L13" s="248">
        <f>SUM(K13+1809.6)</f>
        <v>26087.599999999999</v>
      </c>
      <c r="M13" s="249">
        <f t="shared" ref="M13" si="1">L13-H13</f>
        <v>1296.8999999999978</v>
      </c>
      <c r="N13" s="246"/>
      <c r="Q13" s="284" t="s">
        <v>167</v>
      </c>
    </row>
    <row r="14" spans="1:17" ht="21.75" customHeight="1" x14ac:dyDescent="0.45">
      <c r="A14" s="262" t="s">
        <v>20</v>
      </c>
      <c r="B14" s="471" t="s">
        <v>23</v>
      </c>
      <c r="C14" s="471"/>
      <c r="D14" s="471"/>
      <c r="E14" s="471"/>
      <c r="F14" s="471"/>
      <c r="G14" s="471"/>
      <c r="H14" s="247">
        <f>H16+H17+H15+H18</f>
        <v>21071.200000000001</v>
      </c>
      <c r="I14" s="247">
        <f t="shared" ref="I14:M14" si="2">I16+I17+I15+I18</f>
        <v>21035.1</v>
      </c>
      <c r="J14" s="268">
        <f t="shared" si="2"/>
        <v>24541.8</v>
      </c>
      <c r="K14" s="268">
        <f t="shared" si="2"/>
        <v>25763.599999999999</v>
      </c>
      <c r="L14" s="247">
        <f t="shared" si="2"/>
        <v>28245.899999999998</v>
      </c>
      <c r="M14" s="247">
        <f t="shared" si="2"/>
        <v>7174.7</v>
      </c>
      <c r="N14" s="246"/>
      <c r="Q14" s="284"/>
    </row>
    <row r="15" spans="1:17" ht="43.5" customHeight="1" x14ac:dyDescent="0.45">
      <c r="A15" s="261" t="s">
        <v>131</v>
      </c>
      <c r="B15" s="477" t="s">
        <v>81</v>
      </c>
      <c r="C15" s="477"/>
      <c r="D15" s="477"/>
      <c r="E15" s="477"/>
      <c r="F15" s="477"/>
      <c r="G15" s="477"/>
      <c r="H15" s="249">
        <v>2597</v>
      </c>
      <c r="I15" s="249">
        <v>2610.5</v>
      </c>
      <c r="J15" s="270">
        <v>2611.1999999999998</v>
      </c>
      <c r="K15" s="270">
        <f>SUM(J15+200)</f>
        <v>2811.2</v>
      </c>
      <c r="L15" s="249">
        <f>SUM(K15+1046.6)</f>
        <v>3857.7999999999997</v>
      </c>
      <c r="M15" s="249">
        <f t="shared" ref="M15:M23" si="3">L15-H15</f>
        <v>1260.7999999999997</v>
      </c>
      <c r="N15" s="246"/>
      <c r="Q15" s="284" t="s">
        <v>167</v>
      </c>
    </row>
    <row r="16" spans="1:17" ht="22.5" customHeight="1" x14ac:dyDescent="0.45">
      <c r="A16" s="258" t="s">
        <v>132</v>
      </c>
      <c r="B16" s="258" t="s">
        <v>113</v>
      </c>
      <c r="C16" s="258"/>
      <c r="D16" s="258"/>
      <c r="E16" s="258"/>
      <c r="F16" s="258"/>
      <c r="G16" s="258"/>
      <c r="H16" s="249">
        <v>18394.2</v>
      </c>
      <c r="I16" s="249">
        <v>18394.2</v>
      </c>
      <c r="J16" s="270">
        <v>21900.2</v>
      </c>
      <c r="K16" s="280">
        <f>SUM(J16+1021.8)</f>
        <v>22922</v>
      </c>
      <c r="L16" s="249">
        <f>SUM(K16+1435.7)</f>
        <v>24357.7</v>
      </c>
      <c r="M16" s="249">
        <f t="shared" si="3"/>
        <v>5963.5</v>
      </c>
      <c r="N16" s="246"/>
      <c r="O16" s="202"/>
      <c r="Q16" s="284" t="s">
        <v>167</v>
      </c>
    </row>
    <row r="17" spans="1:17" ht="22.5" customHeight="1" x14ac:dyDescent="0.45">
      <c r="A17" s="258" t="s">
        <v>26</v>
      </c>
      <c r="B17" s="258" t="s">
        <v>92</v>
      </c>
      <c r="C17" s="258"/>
      <c r="D17" s="258"/>
      <c r="E17" s="258"/>
      <c r="F17" s="258"/>
      <c r="G17" s="258"/>
      <c r="H17" s="249">
        <v>80</v>
      </c>
      <c r="I17" s="249">
        <v>26.1</v>
      </c>
      <c r="J17" s="270">
        <v>26.1</v>
      </c>
      <c r="K17" s="270">
        <f>J17</f>
        <v>26.1</v>
      </c>
      <c r="L17" s="249">
        <f>SUM(K17)</f>
        <v>26.1</v>
      </c>
      <c r="M17" s="249">
        <f t="shared" si="3"/>
        <v>-53.9</v>
      </c>
      <c r="N17" s="246"/>
      <c r="Q17" s="284"/>
    </row>
    <row r="18" spans="1:17" ht="21" customHeight="1" x14ac:dyDescent="0.45">
      <c r="A18" s="263" t="s">
        <v>144</v>
      </c>
      <c r="B18" s="258" t="s">
        <v>3</v>
      </c>
      <c r="C18" s="258"/>
      <c r="D18" s="258"/>
      <c r="E18" s="258"/>
      <c r="F18" s="258"/>
      <c r="G18" s="258"/>
      <c r="H18" s="249">
        <v>0</v>
      </c>
      <c r="I18" s="249">
        <v>4.3</v>
      </c>
      <c r="J18" s="270">
        <v>4.3</v>
      </c>
      <c r="K18" s="270">
        <f>J18</f>
        <v>4.3</v>
      </c>
      <c r="L18" s="249">
        <f>K18</f>
        <v>4.3</v>
      </c>
      <c r="M18" s="249">
        <f t="shared" si="3"/>
        <v>4.3</v>
      </c>
      <c r="N18" s="246"/>
      <c r="Q18" s="284"/>
    </row>
    <row r="19" spans="1:17" ht="24.75" customHeight="1" x14ac:dyDescent="0.45">
      <c r="A19" s="275" t="s">
        <v>21</v>
      </c>
      <c r="B19" s="487" t="s">
        <v>149</v>
      </c>
      <c r="C19" s="487"/>
      <c r="D19" s="487"/>
      <c r="E19" s="487"/>
      <c r="F19" s="487"/>
      <c r="G19" s="487"/>
      <c r="H19" s="247">
        <f>SUM(H20:H21)</f>
        <v>20473.300000000003</v>
      </c>
      <c r="I19" s="247">
        <f>SUM(I20:I21)</f>
        <v>20473.300000000003</v>
      </c>
      <c r="J19" s="268">
        <f t="shared" ref="J19:L19" si="4">SUM(J20:J21)</f>
        <v>10748.2</v>
      </c>
      <c r="K19" s="268">
        <f t="shared" si="4"/>
        <v>17601.099999999999</v>
      </c>
      <c r="L19" s="247">
        <f t="shared" si="4"/>
        <v>20349.5</v>
      </c>
      <c r="M19" s="247">
        <f t="shared" si="3"/>
        <v>-123.80000000000291</v>
      </c>
      <c r="N19" s="246"/>
      <c r="Q19" s="284"/>
    </row>
    <row r="20" spans="1:17" ht="22.5" customHeight="1" x14ac:dyDescent="0.45">
      <c r="A20" s="258" t="s">
        <v>145</v>
      </c>
      <c r="B20" s="486" t="s">
        <v>129</v>
      </c>
      <c r="C20" s="486"/>
      <c r="D20" s="486"/>
      <c r="E20" s="486"/>
      <c r="F20" s="486"/>
      <c r="G20" s="486"/>
      <c r="H20" s="249">
        <v>9007.2000000000007</v>
      </c>
      <c r="I20" s="249">
        <v>9007.2000000000007</v>
      </c>
      <c r="J20" s="270">
        <v>4323.5</v>
      </c>
      <c r="K20" s="270">
        <f>SUM(J20+3602.9)</f>
        <v>7926.4</v>
      </c>
      <c r="L20" s="249">
        <f>SUM(I20)</f>
        <v>9007.2000000000007</v>
      </c>
      <c r="M20" s="249">
        <f t="shared" si="3"/>
        <v>0</v>
      </c>
      <c r="N20" s="246"/>
      <c r="Q20" s="284" t="s">
        <v>169</v>
      </c>
    </row>
    <row r="21" spans="1:17" ht="21" customHeight="1" x14ac:dyDescent="0.45">
      <c r="A21" s="258" t="s">
        <v>146</v>
      </c>
      <c r="B21" s="477" t="s">
        <v>130</v>
      </c>
      <c r="C21" s="477"/>
      <c r="D21" s="477"/>
      <c r="E21" s="477"/>
      <c r="F21" s="477"/>
      <c r="G21" s="477"/>
      <c r="H21" s="249">
        <v>11466.1</v>
      </c>
      <c r="I21" s="249">
        <v>11466.1</v>
      </c>
      <c r="J21" s="270">
        <v>6424.7</v>
      </c>
      <c r="K21" s="270">
        <f>SUM(J21+3250)</f>
        <v>9674.7000000000007</v>
      </c>
      <c r="L21" s="280">
        <f>SUM(K21+1667.6)</f>
        <v>11342.300000000001</v>
      </c>
      <c r="M21" s="280">
        <f t="shared" si="3"/>
        <v>-123.79999999999927</v>
      </c>
      <c r="N21" s="246"/>
      <c r="Q21" s="284" t="s">
        <v>167</v>
      </c>
    </row>
    <row r="22" spans="1:17" ht="22.5" customHeight="1" x14ac:dyDescent="0.45">
      <c r="A22" s="272" t="s">
        <v>133</v>
      </c>
      <c r="B22" s="471" t="s">
        <v>150</v>
      </c>
      <c r="C22" s="471"/>
      <c r="D22" s="471"/>
      <c r="E22" s="471"/>
      <c r="F22" s="471"/>
      <c r="G22" s="471"/>
      <c r="H22" s="247">
        <v>1034</v>
      </c>
      <c r="I22" s="247">
        <v>1969.5</v>
      </c>
      <c r="J22" s="268">
        <v>2282.6</v>
      </c>
      <c r="K22" s="268">
        <f>SUM(J22+86.8)</f>
        <v>2369.4</v>
      </c>
      <c r="L22" s="247">
        <f>SUM(K22+98.4)</f>
        <v>2467.8000000000002</v>
      </c>
      <c r="M22" s="247">
        <f t="shared" si="3"/>
        <v>1433.8000000000002</v>
      </c>
      <c r="N22" s="246"/>
      <c r="Q22" s="284" t="s">
        <v>167</v>
      </c>
    </row>
    <row r="23" spans="1:17" x14ac:dyDescent="0.45">
      <c r="A23" s="272" t="s">
        <v>147</v>
      </c>
      <c r="B23" s="471" t="s">
        <v>41</v>
      </c>
      <c r="C23" s="471"/>
      <c r="D23" s="471"/>
      <c r="E23" s="471"/>
      <c r="F23" s="471"/>
      <c r="G23" s="471"/>
      <c r="H23" s="247">
        <v>0</v>
      </c>
      <c r="I23" s="247">
        <v>0</v>
      </c>
      <c r="J23" s="268">
        <v>0</v>
      </c>
      <c r="K23" s="268">
        <f>J23</f>
        <v>0</v>
      </c>
      <c r="L23" s="247">
        <f>J23</f>
        <v>0</v>
      </c>
      <c r="M23" s="247">
        <f t="shared" si="3"/>
        <v>0</v>
      </c>
      <c r="N23" s="250"/>
      <c r="Q23" s="284"/>
    </row>
    <row r="24" spans="1:17" ht="27" customHeight="1" x14ac:dyDescent="0.45">
      <c r="A24" s="285" t="s">
        <v>7</v>
      </c>
      <c r="B24" s="479" t="s">
        <v>31</v>
      </c>
      <c r="C24" s="479"/>
      <c r="D24" s="479"/>
      <c r="E24" s="479"/>
      <c r="F24" s="479"/>
      <c r="G24" s="479"/>
      <c r="H24" s="281">
        <f t="shared" ref="H24:M24" si="5">SUM(H26+H32+H33+H36+H41+H42+H43+H44)</f>
        <v>35588</v>
      </c>
      <c r="I24" s="281">
        <f t="shared" si="5"/>
        <v>39974.799999999996</v>
      </c>
      <c r="J24" s="281">
        <f t="shared" si="5"/>
        <v>33054.9</v>
      </c>
      <c r="K24" s="281">
        <f t="shared" si="5"/>
        <v>36680.398999999998</v>
      </c>
      <c r="L24" s="281">
        <f t="shared" si="5"/>
        <v>40197.601999999999</v>
      </c>
      <c r="M24" s="281">
        <f t="shared" si="5"/>
        <v>4609.601999999999</v>
      </c>
      <c r="N24" s="246"/>
      <c r="Q24" s="284"/>
    </row>
    <row r="25" spans="1:17" ht="22.5" customHeight="1" x14ac:dyDescent="0.45">
      <c r="A25" s="258"/>
      <c r="B25" s="272" t="s">
        <v>2</v>
      </c>
      <c r="C25" s="272"/>
      <c r="D25" s="272"/>
      <c r="E25" s="272"/>
      <c r="F25" s="272"/>
      <c r="G25" s="272"/>
      <c r="H25" s="247"/>
      <c r="I25" s="247"/>
      <c r="J25" s="268"/>
      <c r="K25" s="268"/>
      <c r="L25" s="247"/>
      <c r="M25" s="247"/>
      <c r="N25" s="246"/>
      <c r="Q25" s="284"/>
    </row>
    <row r="26" spans="1:17" ht="40.5" customHeight="1" x14ac:dyDescent="0.45">
      <c r="A26" s="272" t="s">
        <v>9</v>
      </c>
      <c r="B26" s="471" t="s">
        <v>17</v>
      </c>
      <c r="C26" s="471"/>
      <c r="D26" s="471"/>
      <c r="E26" s="471"/>
      <c r="F26" s="471"/>
      <c r="G26" s="471"/>
      <c r="H26" s="247">
        <f>SUM(H27:H31)</f>
        <v>14059.900000000001</v>
      </c>
      <c r="I26" s="247">
        <f t="shared" ref="I26:M26" si="6">SUM(I27:I31)</f>
        <v>14039.900000000001</v>
      </c>
      <c r="J26" s="247">
        <f t="shared" si="6"/>
        <v>11395.800000000001</v>
      </c>
      <c r="K26" s="247">
        <f t="shared" si="6"/>
        <v>13075.800000000001</v>
      </c>
      <c r="L26" s="247">
        <f t="shared" si="6"/>
        <v>14694.300000000001</v>
      </c>
      <c r="M26" s="247">
        <f t="shared" si="6"/>
        <v>634.40000000000009</v>
      </c>
      <c r="N26" s="246"/>
      <c r="Q26" s="284"/>
    </row>
    <row r="27" spans="1:17" ht="31.5" customHeight="1" x14ac:dyDescent="0.45">
      <c r="A27" s="258" t="s">
        <v>9</v>
      </c>
      <c r="B27" s="477" t="s">
        <v>151</v>
      </c>
      <c r="C27" s="477"/>
      <c r="D27" s="477"/>
      <c r="E27" s="477"/>
      <c r="F27" s="477"/>
      <c r="G27" s="477"/>
      <c r="H27" s="249">
        <v>6967.4</v>
      </c>
      <c r="I27" s="249">
        <v>7043.7</v>
      </c>
      <c r="J27" s="270">
        <v>6278.2</v>
      </c>
      <c r="K27" s="278">
        <f>SUM(J27+1137.7)</f>
        <v>7415.9</v>
      </c>
      <c r="L27" s="278">
        <f>SUM(K27+596.4)</f>
        <v>8012.2999999999993</v>
      </c>
      <c r="M27" s="278">
        <f t="shared" ref="M27:M55" si="7">L27-H27</f>
        <v>1044.8999999999996</v>
      </c>
      <c r="N27" s="246"/>
      <c r="Q27" s="284" t="s">
        <v>167</v>
      </c>
    </row>
    <row r="28" spans="1:17" ht="32.25" customHeight="1" x14ac:dyDescent="0.45">
      <c r="A28" s="258" t="s">
        <v>10</v>
      </c>
      <c r="B28" s="477" t="s">
        <v>134</v>
      </c>
      <c r="C28" s="477"/>
      <c r="D28" s="477"/>
      <c r="E28" s="477"/>
      <c r="F28" s="477"/>
      <c r="G28" s="477"/>
      <c r="H28" s="249">
        <v>6513.5</v>
      </c>
      <c r="I28" s="249">
        <v>6513.5</v>
      </c>
      <c r="J28" s="280">
        <v>4600.2</v>
      </c>
      <c r="K28" s="280">
        <f>SUM(J28+542.3)</f>
        <v>5142.5</v>
      </c>
      <c r="L28" s="280">
        <f>SUM(K28+1022.1)</f>
        <v>6164.6</v>
      </c>
      <c r="M28" s="280">
        <f t="shared" si="7"/>
        <v>-348.89999999999964</v>
      </c>
      <c r="N28" s="246"/>
      <c r="Q28" s="284" t="s">
        <v>167</v>
      </c>
    </row>
    <row r="29" spans="1:17" x14ac:dyDescent="0.45">
      <c r="A29" s="258" t="s">
        <v>11</v>
      </c>
      <c r="B29" s="477" t="s">
        <v>44</v>
      </c>
      <c r="C29" s="477"/>
      <c r="D29" s="477"/>
      <c r="E29" s="477"/>
      <c r="F29" s="477"/>
      <c r="G29" s="477"/>
      <c r="H29" s="249">
        <v>183.6</v>
      </c>
      <c r="I29" s="249">
        <v>76.7</v>
      </c>
      <c r="J29" s="280">
        <v>76.7</v>
      </c>
      <c r="K29" s="270">
        <f t="shared" ref="K29:L31" si="8">SUM(J29)</f>
        <v>76.7</v>
      </c>
      <c r="L29" s="249">
        <f t="shared" si="8"/>
        <v>76.7</v>
      </c>
      <c r="M29" s="251">
        <f>L29-H29</f>
        <v>-106.89999999999999</v>
      </c>
      <c r="N29" s="250"/>
      <c r="Q29" s="284" t="s">
        <v>173</v>
      </c>
    </row>
    <row r="30" spans="1:17" x14ac:dyDescent="0.45">
      <c r="A30" s="258" t="s">
        <v>12</v>
      </c>
      <c r="B30" s="477" t="s">
        <v>46</v>
      </c>
      <c r="C30" s="477"/>
      <c r="D30" s="477"/>
      <c r="E30" s="477"/>
      <c r="F30" s="477"/>
      <c r="G30" s="477"/>
      <c r="H30" s="249">
        <v>65.7</v>
      </c>
      <c r="I30" s="249">
        <v>230.3</v>
      </c>
      <c r="J30" s="280">
        <v>264</v>
      </c>
      <c r="K30" s="270">
        <f t="shared" si="8"/>
        <v>264</v>
      </c>
      <c r="L30" s="249">
        <f t="shared" si="8"/>
        <v>264</v>
      </c>
      <c r="M30" s="251">
        <f t="shared" si="7"/>
        <v>198.3</v>
      </c>
      <c r="N30" s="250"/>
      <c r="Q30" s="284" t="s">
        <v>170</v>
      </c>
    </row>
    <row r="31" spans="1:17" ht="24" customHeight="1" x14ac:dyDescent="0.45">
      <c r="A31" s="276" t="s">
        <v>13</v>
      </c>
      <c r="B31" s="477" t="s">
        <v>137</v>
      </c>
      <c r="C31" s="477"/>
      <c r="D31" s="477"/>
      <c r="E31" s="477"/>
      <c r="F31" s="477"/>
      <c r="G31" s="477"/>
      <c r="H31" s="249">
        <v>329.7</v>
      </c>
      <c r="I31" s="249">
        <v>175.7</v>
      </c>
      <c r="J31" s="270">
        <v>176.7</v>
      </c>
      <c r="K31" s="270">
        <f t="shared" si="8"/>
        <v>176.7</v>
      </c>
      <c r="L31" s="249">
        <f t="shared" si="8"/>
        <v>176.7</v>
      </c>
      <c r="M31" s="251">
        <f t="shared" si="7"/>
        <v>-153</v>
      </c>
      <c r="N31" s="250"/>
      <c r="Q31" s="284" t="s">
        <v>173</v>
      </c>
    </row>
    <row r="32" spans="1:17" x14ac:dyDescent="0.45">
      <c r="A32" s="286" t="s">
        <v>10</v>
      </c>
      <c r="B32" s="479" t="s">
        <v>30</v>
      </c>
      <c r="C32" s="479"/>
      <c r="D32" s="479"/>
      <c r="E32" s="479"/>
      <c r="F32" s="479"/>
      <c r="G32" s="479"/>
      <c r="H32" s="281">
        <v>44.2</v>
      </c>
      <c r="I32" s="281">
        <f>H32</f>
        <v>44.2</v>
      </c>
      <c r="J32" s="281">
        <v>34.5</v>
      </c>
      <c r="K32" s="281">
        <f>SUM(J32+1.1)</f>
        <v>35.6</v>
      </c>
      <c r="L32" s="281">
        <f>SUM(K32+1.1)</f>
        <v>36.700000000000003</v>
      </c>
      <c r="M32" s="281">
        <f t="shared" si="7"/>
        <v>-7.5</v>
      </c>
      <c r="N32" s="250"/>
      <c r="Q32" s="284" t="s">
        <v>167</v>
      </c>
    </row>
    <row r="33" spans="1:17" ht="45.75" customHeight="1" x14ac:dyDescent="0.45">
      <c r="A33" s="262" t="s">
        <v>11</v>
      </c>
      <c r="B33" s="471" t="s">
        <v>72</v>
      </c>
      <c r="C33" s="471"/>
      <c r="D33" s="471"/>
      <c r="E33" s="471"/>
      <c r="F33" s="471"/>
      <c r="G33" s="471"/>
      <c r="H33" s="247">
        <f>H34+H35</f>
        <v>18306.2</v>
      </c>
      <c r="I33" s="247">
        <f t="shared" ref="I33:L33" si="9">I34+I35</f>
        <v>19607.8</v>
      </c>
      <c r="J33" s="268">
        <f t="shared" si="9"/>
        <v>15899</v>
      </c>
      <c r="K33" s="268">
        <f t="shared" si="9"/>
        <v>17749.300000000003</v>
      </c>
      <c r="L33" s="247">
        <f t="shared" si="9"/>
        <v>19368.302</v>
      </c>
      <c r="M33" s="252">
        <f t="shared" si="7"/>
        <v>1062.101999999999</v>
      </c>
      <c r="N33" s="246"/>
      <c r="Q33" s="284"/>
    </row>
    <row r="34" spans="1:17" x14ac:dyDescent="0.45">
      <c r="A34" s="261" t="s">
        <v>33</v>
      </c>
      <c r="B34" s="477" t="s">
        <v>159</v>
      </c>
      <c r="C34" s="477"/>
      <c r="D34" s="477"/>
      <c r="E34" s="477"/>
      <c r="F34" s="477"/>
      <c r="G34" s="477"/>
      <c r="H34" s="253">
        <v>16961.7</v>
      </c>
      <c r="I34" s="249">
        <v>16961.7</v>
      </c>
      <c r="J34" s="270">
        <v>13515.2</v>
      </c>
      <c r="K34" s="280">
        <f>SUM(J34+1636.001)</f>
        <v>15151.201000000001</v>
      </c>
      <c r="L34" s="280">
        <f>SUM(K34+1571.001)</f>
        <v>16722.202000000001</v>
      </c>
      <c r="M34" s="280">
        <f t="shared" si="7"/>
        <v>-239.49799999999959</v>
      </c>
      <c r="N34" s="246"/>
      <c r="Q34" s="284" t="s">
        <v>167</v>
      </c>
    </row>
    <row r="35" spans="1:17" ht="45.75" customHeight="1" x14ac:dyDescent="0.45">
      <c r="A35" s="261" t="s">
        <v>34</v>
      </c>
      <c r="B35" s="477" t="s">
        <v>76</v>
      </c>
      <c r="C35" s="477"/>
      <c r="D35" s="477"/>
      <c r="E35" s="477"/>
      <c r="F35" s="477"/>
      <c r="G35" s="477"/>
      <c r="H35" s="254">
        <v>1344.5</v>
      </c>
      <c r="I35" s="249">
        <v>2646.1</v>
      </c>
      <c r="J35" s="270">
        <v>2383.8000000000002</v>
      </c>
      <c r="K35" s="270">
        <f>SUM(J35+214.299)</f>
        <v>2598.0990000000002</v>
      </c>
      <c r="L35" s="249">
        <f>SUM(I35)</f>
        <v>2646.1</v>
      </c>
      <c r="M35" s="251">
        <f t="shared" si="7"/>
        <v>1301.5999999999999</v>
      </c>
      <c r="N35" s="246"/>
      <c r="Q35" s="284" t="s">
        <v>169</v>
      </c>
    </row>
    <row r="36" spans="1:17" ht="44.25" customHeight="1" x14ac:dyDescent="0.45">
      <c r="A36" s="272" t="s">
        <v>12</v>
      </c>
      <c r="B36" s="471" t="s">
        <v>36</v>
      </c>
      <c r="C36" s="471"/>
      <c r="D36" s="471"/>
      <c r="E36" s="471"/>
      <c r="F36" s="471"/>
      <c r="G36" s="471"/>
      <c r="H36" s="247">
        <f>SUM(H37:H40)</f>
        <v>2750</v>
      </c>
      <c r="I36" s="247">
        <f t="shared" ref="I36:M36" si="10">SUM(I37:I40)</f>
        <v>2855.7000000000003</v>
      </c>
      <c r="J36" s="247">
        <f t="shared" si="10"/>
        <v>2231.6000000000004</v>
      </c>
      <c r="K36" s="247">
        <f t="shared" si="10"/>
        <v>2357.6000000000004</v>
      </c>
      <c r="L36" s="247">
        <f t="shared" si="10"/>
        <v>2483.6000000000004</v>
      </c>
      <c r="M36" s="247">
        <f t="shared" si="10"/>
        <v>-266.39999999999992</v>
      </c>
      <c r="N36" s="246"/>
      <c r="Q36" s="284"/>
    </row>
    <row r="37" spans="1:17" ht="29.25" customHeight="1" x14ac:dyDescent="0.45">
      <c r="A37" s="258" t="s">
        <v>152</v>
      </c>
      <c r="B37" s="477" t="s">
        <v>140</v>
      </c>
      <c r="C37" s="477"/>
      <c r="D37" s="477"/>
      <c r="E37" s="477"/>
      <c r="F37" s="477"/>
      <c r="G37" s="477"/>
      <c r="H37" s="249">
        <v>500</v>
      </c>
      <c r="I37" s="249">
        <v>580.79999999999995</v>
      </c>
      <c r="J37" s="270">
        <v>580.79999999999995</v>
      </c>
      <c r="K37" s="270">
        <f>SUM(J37)</f>
        <v>580.79999999999995</v>
      </c>
      <c r="L37" s="249">
        <f>SUM(K37)</f>
        <v>580.79999999999995</v>
      </c>
      <c r="M37" s="251">
        <f t="shared" si="7"/>
        <v>80.799999999999955</v>
      </c>
      <c r="N37" s="246"/>
      <c r="Q37" s="284" t="s">
        <v>170</v>
      </c>
    </row>
    <row r="38" spans="1:17" ht="72" customHeight="1" x14ac:dyDescent="0.45">
      <c r="A38" s="258" t="s">
        <v>153</v>
      </c>
      <c r="B38" s="477" t="s">
        <v>165</v>
      </c>
      <c r="C38" s="477"/>
      <c r="D38" s="477"/>
      <c r="E38" s="477"/>
      <c r="F38" s="477"/>
      <c r="G38" s="477"/>
      <c r="H38" s="249">
        <v>1800</v>
      </c>
      <c r="I38" s="249">
        <v>1800</v>
      </c>
      <c r="J38" s="270">
        <v>1175.9000000000001</v>
      </c>
      <c r="K38" s="270">
        <f>SUM(J38+126)</f>
        <v>1301.9000000000001</v>
      </c>
      <c r="L38" s="249">
        <f>SUM(K38+126)</f>
        <v>1427.9</v>
      </c>
      <c r="M38" s="251">
        <f t="shared" si="7"/>
        <v>-372.09999999999991</v>
      </c>
      <c r="N38" s="246"/>
      <c r="Q38" s="284" t="s">
        <v>167</v>
      </c>
    </row>
    <row r="39" spans="1:17" ht="106.5" customHeight="1" x14ac:dyDescent="0.45">
      <c r="A39" s="258" t="s">
        <v>157</v>
      </c>
      <c r="B39" s="477" t="s">
        <v>79</v>
      </c>
      <c r="C39" s="477"/>
      <c r="D39" s="477"/>
      <c r="E39" s="477"/>
      <c r="F39" s="477"/>
      <c r="G39" s="477"/>
      <c r="H39" s="249">
        <v>450</v>
      </c>
      <c r="I39" s="249">
        <v>457.1</v>
      </c>
      <c r="J39" s="270">
        <v>457.1</v>
      </c>
      <c r="K39" s="270">
        <f>SUM(J39)</f>
        <v>457.1</v>
      </c>
      <c r="L39" s="249">
        <f>SUM(K39)</f>
        <v>457.1</v>
      </c>
      <c r="M39" s="251">
        <f t="shared" si="7"/>
        <v>7.1000000000000227</v>
      </c>
      <c r="N39" s="246"/>
      <c r="Q39" s="284" t="s">
        <v>171</v>
      </c>
    </row>
    <row r="40" spans="1:17" ht="84.75" customHeight="1" x14ac:dyDescent="0.45">
      <c r="A40" s="258" t="s">
        <v>158</v>
      </c>
      <c r="B40" s="477" t="s">
        <v>166</v>
      </c>
      <c r="C40" s="477"/>
      <c r="D40" s="477"/>
      <c r="E40" s="477"/>
      <c r="F40" s="477"/>
      <c r="G40" s="477"/>
      <c r="H40" s="249">
        <v>0</v>
      </c>
      <c r="I40" s="249">
        <v>17.8</v>
      </c>
      <c r="J40" s="270">
        <v>17.8</v>
      </c>
      <c r="K40" s="270">
        <f>J40</f>
        <v>17.8</v>
      </c>
      <c r="L40" s="249">
        <f>SUM(K40)</f>
        <v>17.8</v>
      </c>
      <c r="M40" s="251">
        <f t="shared" si="7"/>
        <v>17.8</v>
      </c>
      <c r="N40" s="246"/>
      <c r="Q40" s="284" t="s">
        <v>171</v>
      </c>
    </row>
    <row r="41" spans="1:17" ht="21.75" customHeight="1" x14ac:dyDescent="0.45">
      <c r="A41" s="272" t="s">
        <v>13</v>
      </c>
      <c r="B41" s="478" t="s">
        <v>6</v>
      </c>
      <c r="C41" s="478"/>
      <c r="D41" s="478"/>
      <c r="E41" s="478"/>
      <c r="F41" s="478"/>
      <c r="G41" s="478"/>
      <c r="H41" s="247">
        <v>427.7</v>
      </c>
      <c r="I41" s="247">
        <v>456.5</v>
      </c>
      <c r="J41" s="281">
        <v>471.8</v>
      </c>
      <c r="K41" s="268">
        <f>SUM(J41+19.599)</f>
        <v>491.399</v>
      </c>
      <c r="L41" s="247">
        <f>SUM(K41+152.601)</f>
        <v>644</v>
      </c>
      <c r="M41" s="252">
        <f t="shared" si="7"/>
        <v>216.3</v>
      </c>
      <c r="N41" s="246"/>
      <c r="Q41" s="284" t="s">
        <v>167</v>
      </c>
    </row>
    <row r="42" spans="1:17" ht="20.25" customHeight="1" x14ac:dyDescent="0.45">
      <c r="A42" s="272" t="s">
        <v>14</v>
      </c>
      <c r="B42" s="471" t="s">
        <v>155</v>
      </c>
      <c r="C42" s="471"/>
      <c r="D42" s="471"/>
      <c r="E42" s="471"/>
      <c r="F42" s="471"/>
      <c r="G42" s="471"/>
      <c r="H42" s="247">
        <v>0</v>
      </c>
      <c r="I42" s="247">
        <v>25</v>
      </c>
      <c r="J42" s="268">
        <v>25</v>
      </c>
      <c r="K42" s="268">
        <f>SUM(J42)</f>
        <v>25</v>
      </c>
      <c r="L42" s="247">
        <f>SUM(K42)</f>
        <v>25</v>
      </c>
      <c r="M42" s="252">
        <f t="shared" si="7"/>
        <v>25</v>
      </c>
      <c r="N42" s="279">
        <f>SUM(J42:J44)</f>
        <v>3022.2</v>
      </c>
      <c r="Q42" s="284" t="s">
        <v>170</v>
      </c>
    </row>
    <row r="43" spans="1:17" ht="19.5" customHeight="1" x14ac:dyDescent="0.45">
      <c r="A43" s="272" t="s">
        <v>154</v>
      </c>
      <c r="B43" s="479" t="s">
        <v>15</v>
      </c>
      <c r="C43" s="479"/>
      <c r="D43" s="479"/>
      <c r="E43" s="479"/>
      <c r="F43" s="479"/>
      <c r="G43" s="479"/>
      <c r="H43" s="247">
        <v>0</v>
      </c>
      <c r="I43" s="247">
        <v>0</v>
      </c>
      <c r="J43" s="268">
        <v>51.5</v>
      </c>
      <c r="K43" s="268">
        <v>0</v>
      </c>
      <c r="L43" s="247">
        <v>0</v>
      </c>
      <c r="M43" s="252">
        <f t="shared" si="7"/>
        <v>0</v>
      </c>
      <c r="N43" s="250"/>
      <c r="Q43" s="284" t="s">
        <v>172</v>
      </c>
    </row>
    <row r="44" spans="1:17" ht="21" customHeight="1" x14ac:dyDescent="0.45">
      <c r="A44" s="262" t="s">
        <v>156</v>
      </c>
      <c r="B44" s="471" t="s">
        <v>136</v>
      </c>
      <c r="C44" s="471"/>
      <c r="D44" s="471"/>
      <c r="E44" s="471"/>
      <c r="F44" s="471"/>
      <c r="G44" s="471"/>
      <c r="H44" s="247">
        <v>0</v>
      </c>
      <c r="I44" s="247">
        <v>2945.7</v>
      </c>
      <c r="J44" s="268">
        <v>2945.7</v>
      </c>
      <c r="K44" s="268">
        <f>SUM(J44)</f>
        <v>2945.7</v>
      </c>
      <c r="L44" s="247">
        <f>SUM(K44)</f>
        <v>2945.7</v>
      </c>
      <c r="M44" s="252">
        <f t="shared" si="7"/>
        <v>2945.7</v>
      </c>
      <c r="N44" s="246"/>
      <c r="Q44" s="284" t="s">
        <v>171</v>
      </c>
    </row>
    <row r="45" spans="1:17" ht="21.75" customHeight="1" x14ac:dyDescent="0.45">
      <c r="A45" s="264"/>
      <c r="B45" s="480" t="s">
        <v>32</v>
      </c>
      <c r="C45" s="480"/>
      <c r="D45" s="480"/>
      <c r="E45" s="480"/>
      <c r="F45" s="480"/>
      <c r="G45" s="480"/>
      <c r="H45" s="247">
        <f t="shared" ref="H45:M45" si="11">SUM(H8+H24)</f>
        <v>269572.60000000003</v>
      </c>
      <c r="I45" s="247">
        <f t="shared" si="11"/>
        <v>299171.40000000002</v>
      </c>
      <c r="J45" s="247">
        <f t="shared" si="11"/>
        <v>244164.80000000002</v>
      </c>
      <c r="K45" s="247">
        <f t="shared" si="11"/>
        <v>246839.99900000001</v>
      </c>
      <c r="L45" s="247">
        <f t="shared" si="11"/>
        <v>309379.902</v>
      </c>
      <c r="M45" s="247">
        <f t="shared" si="11"/>
        <v>39807.302000000003</v>
      </c>
      <c r="N45" s="277">
        <f>SUM(L45-I45)</f>
        <v>10208.501999999979</v>
      </c>
      <c r="Q45" s="284"/>
    </row>
    <row r="46" spans="1:17" ht="21" customHeight="1" x14ac:dyDescent="0.45">
      <c r="A46" s="266" t="s">
        <v>40</v>
      </c>
      <c r="B46" s="474" t="s">
        <v>56</v>
      </c>
      <c r="C46" s="474"/>
      <c r="D46" s="474"/>
      <c r="E46" s="474"/>
      <c r="F46" s="474"/>
      <c r="G46" s="474"/>
      <c r="H46" s="247">
        <f>H47+H54+H52+H53</f>
        <v>1095585.7</v>
      </c>
      <c r="I46" s="247">
        <f t="shared" ref="I46" si="12">I47+I54+I52+I53</f>
        <v>1246608.5</v>
      </c>
      <c r="J46" s="268">
        <f>J47+J54+J52+J53</f>
        <v>924580.2</v>
      </c>
      <c r="K46" s="268">
        <f t="shared" ref="K46:M46" si="13">K47+K54+K52+K53</f>
        <v>1085594.2</v>
      </c>
      <c r="L46" s="247">
        <f t="shared" si="13"/>
        <v>1246608.5</v>
      </c>
      <c r="M46" s="257">
        <f t="shared" si="13"/>
        <v>151022.8000000001</v>
      </c>
      <c r="N46" s="246"/>
      <c r="Q46" s="284" t="s">
        <v>169</v>
      </c>
    </row>
    <row r="47" spans="1:17" x14ac:dyDescent="0.45">
      <c r="A47" s="267" t="s">
        <v>47</v>
      </c>
      <c r="B47" s="483" t="s">
        <v>65</v>
      </c>
      <c r="C47" s="483"/>
      <c r="D47" s="483"/>
      <c r="E47" s="483"/>
      <c r="F47" s="483"/>
      <c r="G47" s="483"/>
      <c r="H47" s="247">
        <f>SUM(H48:H51)</f>
        <v>1095585.7</v>
      </c>
      <c r="I47" s="247">
        <f>SUM(I48:I51)</f>
        <v>1247831.3</v>
      </c>
      <c r="J47" s="268">
        <f>SUM(J48:J51)</f>
        <v>925803</v>
      </c>
      <c r="K47" s="268">
        <f>SUM(K48:K51)</f>
        <v>1086817</v>
      </c>
      <c r="L47" s="247">
        <f>SUM(L48:L51)</f>
        <v>1247831.3</v>
      </c>
      <c r="M47" s="247">
        <f>L47-H47</f>
        <v>152245.60000000009</v>
      </c>
      <c r="N47" s="246"/>
      <c r="Q47" s="284"/>
    </row>
    <row r="48" spans="1:17" ht="19.5" customHeight="1" x14ac:dyDescent="0.45">
      <c r="A48" s="267" t="s">
        <v>66</v>
      </c>
      <c r="B48" s="481" t="s">
        <v>57</v>
      </c>
      <c r="C48" s="481"/>
      <c r="D48" s="481"/>
      <c r="E48" s="481"/>
      <c r="F48" s="481"/>
      <c r="G48" s="481"/>
      <c r="H48" s="249">
        <v>395997.8</v>
      </c>
      <c r="I48" s="249">
        <v>395997.8</v>
      </c>
      <c r="J48" s="270">
        <v>349548</v>
      </c>
      <c r="K48" s="270">
        <f>J48+23225</f>
        <v>372773</v>
      </c>
      <c r="L48" s="249">
        <f>SUM(I48)</f>
        <v>395997.8</v>
      </c>
      <c r="M48" s="249">
        <f>L48-H48</f>
        <v>0</v>
      </c>
      <c r="N48" s="246"/>
      <c r="Q48" s="284"/>
    </row>
    <row r="49" spans="1:17" ht="18.75" customHeight="1" x14ac:dyDescent="0.45">
      <c r="A49" s="267" t="s">
        <v>67</v>
      </c>
      <c r="B49" s="481" t="s">
        <v>59</v>
      </c>
      <c r="C49" s="481"/>
      <c r="D49" s="481"/>
      <c r="E49" s="481"/>
      <c r="F49" s="481"/>
      <c r="G49" s="481"/>
      <c r="H49" s="249">
        <v>322686.59999999998</v>
      </c>
      <c r="I49" s="249">
        <v>395137.6</v>
      </c>
      <c r="J49" s="270">
        <v>213491.1</v>
      </c>
      <c r="K49" s="270">
        <f>J49+90823</f>
        <v>304314.09999999998</v>
      </c>
      <c r="L49" s="249">
        <f t="shared" ref="L49:L54" si="14">SUM(I49)</f>
        <v>395137.6</v>
      </c>
      <c r="M49" s="249">
        <f>L49-H49</f>
        <v>72451</v>
      </c>
      <c r="N49" s="246"/>
      <c r="Q49" s="284"/>
    </row>
    <row r="50" spans="1:17" ht="18.75" customHeight="1" x14ac:dyDescent="0.45">
      <c r="A50" s="267" t="s">
        <v>68</v>
      </c>
      <c r="B50" s="481" t="s">
        <v>60</v>
      </c>
      <c r="C50" s="481"/>
      <c r="D50" s="481"/>
      <c r="E50" s="481"/>
      <c r="F50" s="481"/>
      <c r="G50" s="481"/>
      <c r="H50" s="249">
        <v>374531</v>
      </c>
      <c r="I50" s="249">
        <v>415341.3</v>
      </c>
      <c r="J50" s="270">
        <v>322206</v>
      </c>
      <c r="K50" s="270">
        <f>J50+46568</f>
        <v>368774</v>
      </c>
      <c r="L50" s="249">
        <f t="shared" si="14"/>
        <v>415341.3</v>
      </c>
      <c r="M50" s="249">
        <f t="shared" si="7"/>
        <v>40810.299999999988</v>
      </c>
      <c r="N50" s="246"/>
      <c r="Q50" s="284"/>
    </row>
    <row r="51" spans="1:17" ht="17.25" customHeight="1" x14ac:dyDescent="0.45">
      <c r="A51" s="267" t="s">
        <v>69</v>
      </c>
      <c r="B51" s="481" t="s">
        <v>62</v>
      </c>
      <c r="C51" s="481"/>
      <c r="D51" s="481"/>
      <c r="E51" s="481"/>
      <c r="F51" s="481"/>
      <c r="G51" s="481"/>
      <c r="H51" s="249">
        <v>2370.3000000000002</v>
      </c>
      <c r="I51" s="249">
        <v>41354.6</v>
      </c>
      <c r="J51" s="270">
        <v>40557.9</v>
      </c>
      <c r="K51" s="270">
        <f>J51+398</f>
        <v>40955.9</v>
      </c>
      <c r="L51" s="249">
        <f t="shared" si="14"/>
        <v>41354.6</v>
      </c>
      <c r="M51" s="249">
        <f t="shared" si="7"/>
        <v>38984.299999999996</v>
      </c>
      <c r="N51" s="246"/>
      <c r="Q51" s="284"/>
    </row>
    <row r="52" spans="1:17" ht="60.75" customHeight="1" x14ac:dyDescent="0.45">
      <c r="A52" s="267" t="s">
        <v>58</v>
      </c>
      <c r="B52" s="481" t="s">
        <v>125</v>
      </c>
      <c r="C52" s="481"/>
      <c r="D52" s="481"/>
      <c r="E52" s="481"/>
      <c r="F52" s="481"/>
      <c r="G52" s="481"/>
      <c r="H52" s="249">
        <v>0</v>
      </c>
      <c r="I52" s="249">
        <v>0</v>
      </c>
      <c r="J52" s="249">
        <v>0</v>
      </c>
      <c r="K52" s="249">
        <f t="shared" ref="K52:K54" si="15">J52</f>
        <v>0</v>
      </c>
      <c r="L52" s="249">
        <f t="shared" si="14"/>
        <v>0</v>
      </c>
      <c r="M52" s="249">
        <f t="shared" si="7"/>
        <v>0</v>
      </c>
      <c r="N52" s="246"/>
      <c r="Q52" s="284"/>
    </row>
    <row r="53" spans="1:17" ht="21.75" customHeight="1" x14ac:dyDescent="0.45">
      <c r="A53" s="267" t="s">
        <v>61</v>
      </c>
      <c r="B53" s="481" t="s">
        <v>74</v>
      </c>
      <c r="C53" s="481"/>
      <c r="D53" s="481"/>
      <c r="E53" s="481"/>
      <c r="F53" s="481"/>
      <c r="G53" s="481"/>
      <c r="H53" s="249">
        <v>0</v>
      </c>
      <c r="I53" s="249">
        <v>0</v>
      </c>
      <c r="J53" s="249">
        <v>0</v>
      </c>
      <c r="K53" s="249">
        <f t="shared" si="15"/>
        <v>0</v>
      </c>
      <c r="L53" s="249">
        <f t="shared" si="14"/>
        <v>0</v>
      </c>
      <c r="M53" s="249">
        <f t="shared" si="7"/>
        <v>0</v>
      </c>
      <c r="N53" s="246"/>
      <c r="Q53" s="284"/>
    </row>
    <row r="54" spans="1:17" ht="70.5" customHeight="1" x14ac:dyDescent="0.45">
      <c r="A54" s="267" t="s">
        <v>84</v>
      </c>
      <c r="B54" s="481" t="s">
        <v>78</v>
      </c>
      <c r="C54" s="481"/>
      <c r="D54" s="481"/>
      <c r="E54" s="481"/>
      <c r="F54" s="481"/>
      <c r="G54" s="481"/>
      <c r="H54" s="249">
        <v>0</v>
      </c>
      <c r="I54" s="249">
        <v>-1222.8</v>
      </c>
      <c r="J54" s="249">
        <v>-1222.8</v>
      </c>
      <c r="K54" s="249">
        <f t="shared" si="15"/>
        <v>-1222.8</v>
      </c>
      <c r="L54" s="249">
        <f t="shared" si="14"/>
        <v>-1222.8</v>
      </c>
      <c r="M54" s="249">
        <f t="shared" si="7"/>
        <v>-1222.8</v>
      </c>
      <c r="N54" s="246"/>
      <c r="Q54" s="284"/>
    </row>
    <row r="55" spans="1:17" ht="24" customHeight="1" x14ac:dyDescent="0.45">
      <c r="A55" s="264"/>
      <c r="B55" s="480" t="s">
        <v>64</v>
      </c>
      <c r="C55" s="480"/>
      <c r="D55" s="480"/>
      <c r="E55" s="480"/>
      <c r="F55" s="480"/>
      <c r="G55" s="480"/>
      <c r="H55" s="247">
        <f>H45+H46</f>
        <v>1365158.3</v>
      </c>
      <c r="I55" s="247">
        <f>I45+I46</f>
        <v>1545779.9</v>
      </c>
      <c r="J55" s="247">
        <f>J45+J46</f>
        <v>1168745</v>
      </c>
      <c r="K55" s="247">
        <f>K45+K46</f>
        <v>1332434.199</v>
      </c>
      <c r="L55" s="247">
        <f>L45+L46</f>
        <v>1555988.402</v>
      </c>
      <c r="M55" s="265">
        <f t="shared" si="7"/>
        <v>190830.10199999996</v>
      </c>
      <c r="N55" s="246"/>
      <c r="Q55" s="284"/>
    </row>
    <row r="56" spans="1:17" x14ac:dyDescent="0.45">
      <c r="A56" s="273"/>
      <c r="B56" s="482"/>
      <c r="C56" s="482"/>
      <c r="D56" s="482"/>
      <c r="E56" s="482"/>
      <c r="F56" s="482"/>
      <c r="G56" s="482"/>
      <c r="H56" s="482"/>
      <c r="I56" s="482"/>
      <c r="J56" s="482"/>
      <c r="K56" s="482"/>
      <c r="L56" s="482"/>
      <c r="M56" s="256"/>
      <c r="N56" s="246"/>
      <c r="Q56" s="284"/>
    </row>
    <row r="57" spans="1:17" x14ac:dyDescent="0.45">
      <c r="I57" s="282">
        <f>SUM(I55-H55)</f>
        <v>180621.59999999986</v>
      </c>
      <c r="Q57" s="284"/>
    </row>
    <row r="58" spans="1:17" x14ac:dyDescent="0.45">
      <c r="I58" s="282">
        <f>SUM(I45-H45)</f>
        <v>29598.799999999988</v>
      </c>
      <c r="Q58" s="284"/>
    </row>
  </sheetData>
  <mergeCells count="53">
    <mergeCell ref="A1:M2"/>
    <mergeCell ref="A4:A7"/>
    <mergeCell ref="B4:G7"/>
    <mergeCell ref="H4:H7"/>
    <mergeCell ref="I4:I7"/>
    <mergeCell ref="J4:J7"/>
    <mergeCell ref="K4:K7"/>
    <mergeCell ref="L4:L7"/>
    <mergeCell ref="M4:M7"/>
    <mergeCell ref="B23:G23"/>
    <mergeCell ref="B8:G8"/>
    <mergeCell ref="B10:G10"/>
    <mergeCell ref="B11:G11"/>
    <mergeCell ref="B12:G12"/>
    <mergeCell ref="B13:G13"/>
    <mergeCell ref="B14:G14"/>
    <mergeCell ref="B15:G15"/>
    <mergeCell ref="B19:G19"/>
    <mergeCell ref="B20:G20"/>
    <mergeCell ref="B21:G21"/>
    <mergeCell ref="B22:G22"/>
    <mergeCell ref="B36:G36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48:G48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B55:G55"/>
    <mergeCell ref="B56:L56"/>
    <mergeCell ref="B49:G49"/>
    <mergeCell ref="B50:G50"/>
    <mergeCell ref="B51:G51"/>
    <mergeCell ref="B52:G52"/>
    <mergeCell ref="B53:G53"/>
    <mergeCell ref="B54:G54"/>
  </mergeCells>
  <pageMargins left="0" right="0" top="0" bottom="0" header="0.31496062992125984" footer="0.31496062992125984"/>
  <pageSetup paperSize="9" scale="2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4"/>
  <sheetViews>
    <sheetView tabSelected="1" view="pageBreakPreview" topLeftCell="A35" zoomScale="60" zoomScaleNormal="100" workbookViewId="0">
      <selection activeCell="M59" sqref="M59"/>
    </sheetView>
  </sheetViews>
  <sheetFormatPr defaultRowHeight="34.5" x14ac:dyDescent="0.45"/>
  <cols>
    <col min="1" max="1" width="6" style="187" customWidth="1"/>
    <col min="2" max="2" width="33.5703125" style="187" customWidth="1"/>
    <col min="3" max="3" width="9.140625" style="187" hidden="1" customWidth="1"/>
    <col min="4" max="4" width="23" style="187" hidden="1" customWidth="1"/>
    <col min="5" max="5" width="22.140625" style="187" hidden="1" customWidth="1"/>
    <col min="6" max="6" width="20" style="187" hidden="1" customWidth="1"/>
    <col min="7" max="7" width="34.7109375" style="187" hidden="1" customWidth="1"/>
    <col min="8" max="8" width="16.85546875" style="187" customWidth="1"/>
    <col min="9" max="9" width="15.28515625" style="187" customWidth="1"/>
    <col min="10" max="10" width="16.42578125" style="187" customWidth="1"/>
    <col min="11" max="11" width="15.7109375" style="187" customWidth="1"/>
    <col min="12" max="12" width="17.5703125" style="187" customWidth="1"/>
    <col min="13" max="13" width="18.85546875" style="187" customWidth="1"/>
    <col min="14" max="14" width="14.140625" style="187" customWidth="1"/>
    <col min="15" max="16" width="9.140625" style="187"/>
    <col min="17" max="17" width="42.85546875" style="187" customWidth="1"/>
    <col min="18" max="18" width="12" style="187" customWidth="1"/>
    <col min="19" max="19" width="11.85546875" style="187" customWidth="1"/>
    <col min="20" max="20" width="42" style="187" customWidth="1"/>
    <col min="21" max="21" width="68.7109375" style="187" customWidth="1"/>
    <col min="22" max="16384" width="9.140625" style="187"/>
  </cols>
  <sheetData>
    <row r="1" spans="1:17" ht="27" customHeight="1" x14ac:dyDescent="0.45">
      <c r="A1" s="484" t="s">
        <v>174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246"/>
    </row>
    <row r="2" spans="1:17" hidden="1" x14ac:dyDescent="0.45">
      <c r="A2" s="485"/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246"/>
    </row>
    <row r="3" spans="1:17" ht="24.75" customHeight="1" x14ac:dyDescent="0.45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 t="s">
        <v>161</v>
      </c>
      <c r="N3" s="246"/>
    </row>
    <row r="4" spans="1:17" x14ac:dyDescent="0.45">
      <c r="A4" s="472" t="s">
        <v>55</v>
      </c>
      <c r="B4" s="472" t="s">
        <v>0</v>
      </c>
      <c r="C4" s="472"/>
      <c r="D4" s="472"/>
      <c r="E4" s="472"/>
      <c r="F4" s="472"/>
      <c r="G4" s="472"/>
      <c r="H4" s="473" t="s">
        <v>162</v>
      </c>
      <c r="I4" s="473" t="s">
        <v>52</v>
      </c>
      <c r="J4" s="488" t="s">
        <v>175</v>
      </c>
      <c r="K4" s="489" t="s">
        <v>82</v>
      </c>
      <c r="L4" s="490" t="s">
        <v>176</v>
      </c>
      <c r="M4" s="473" t="s">
        <v>54</v>
      </c>
      <c r="N4" s="246"/>
    </row>
    <row r="5" spans="1:17" x14ac:dyDescent="0.45">
      <c r="A5" s="472"/>
      <c r="B5" s="472"/>
      <c r="C5" s="472"/>
      <c r="D5" s="472"/>
      <c r="E5" s="472"/>
      <c r="F5" s="472"/>
      <c r="G5" s="472"/>
      <c r="H5" s="473"/>
      <c r="I5" s="473"/>
      <c r="J5" s="488"/>
      <c r="K5" s="489"/>
      <c r="L5" s="490"/>
      <c r="M5" s="473"/>
      <c r="N5" s="246"/>
    </row>
    <row r="6" spans="1:17" ht="0.75" customHeight="1" x14ac:dyDescent="0.45">
      <c r="A6" s="472"/>
      <c r="B6" s="472"/>
      <c r="C6" s="472"/>
      <c r="D6" s="472"/>
      <c r="E6" s="472"/>
      <c r="F6" s="472"/>
      <c r="G6" s="472"/>
      <c r="H6" s="473"/>
      <c r="I6" s="473"/>
      <c r="J6" s="488"/>
      <c r="K6" s="489"/>
      <c r="L6" s="490"/>
      <c r="M6" s="473"/>
      <c r="N6" s="246"/>
    </row>
    <row r="7" spans="1:17" hidden="1" x14ac:dyDescent="0.45">
      <c r="A7" s="472"/>
      <c r="B7" s="472"/>
      <c r="C7" s="472"/>
      <c r="D7" s="472"/>
      <c r="E7" s="472"/>
      <c r="F7" s="472"/>
      <c r="G7" s="472"/>
      <c r="H7" s="473"/>
      <c r="I7" s="473"/>
      <c r="J7" s="488"/>
      <c r="K7" s="489"/>
      <c r="L7" s="490"/>
      <c r="M7" s="473"/>
      <c r="N7" s="246"/>
    </row>
    <row r="8" spans="1:17" ht="22.5" customHeight="1" x14ac:dyDescent="0.45">
      <c r="A8" s="292" t="s">
        <v>8</v>
      </c>
      <c r="B8" s="491" t="s">
        <v>1</v>
      </c>
      <c r="C8" s="491"/>
      <c r="D8" s="491"/>
      <c r="E8" s="491"/>
      <c r="F8" s="491"/>
      <c r="G8" s="491"/>
      <c r="H8" s="293">
        <f>SUM(H10+H13+H14+H19+H22+H23)</f>
        <v>293250.5</v>
      </c>
      <c r="I8" s="293">
        <f t="shared" ref="I8:M8" si="0">SUM(I10+I13+I14+I19+I22+I23)</f>
        <v>305519.90508</v>
      </c>
      <c r="J8" s="293">
        <f t="shared" si="0"/>
        <v>247615.50738999998</v>
      </c>
      <c r="K8" s="293">
        <f t="shared" si="0"/>
        <v>276434.30739000003</v>
      </c>
      <c r="L8" s="293">
        <f t="shared" si="0"/>
        <v>321407.10738999996</v>
      </c>
      <c r="M8" s="293">
        <f t="shared" si="0"/>
        <v>28156.607390000012</v>
      </c>
      <c r="N8" s="246"/>
      <c r="Q8" s="284"/>
    </row>
    <row r="9" spans="1:17" ht="21" customHeight="1" x14ac:dyDescent="0.45">
      <c r="A9" s="258"/>
      <c r="B9" s="288" t="s">
        <v>48</v>
      </c>
      <c r="C9" s="288"/>
      <c r="D9" s="288"/>
      <c r="E9" s="288"/>
      <c r="F9" s="288"/>
      <c r="G9" s="288"/>
      <c r="H9" s="247"/>
      <c r="I9" s="260"/>
      <c r="J9" s="247"/>
      <c r="K9" s="247"/>
      <c r="L9" s="247"/>
      <c r="M9" s="252"/>
      <c r="N9" s="246"/>
      <c r="Q9" s="284"/>
    </row>
    <row r="10" spans="1:17" ht="18.75" customHeight="1" x14ac:dyDescent="0.45">
      <c r="A10" s="262" t="s">
        <v>18</v>
      </c>
      <c r="B10" s="471" t="s">
        <v>22</v>
      </c>
      <c r="C10" s="471"/>
      <c r="D10" s="471"/>
      <c r="E10" s="471"/>
      <c r="F10" s="471"/>
      <c r="G10" s="471"/>
      <c r="H10" s="247">
        <v>212235.3</v>
      </c>
      <c r="I10" s="247">
        <v>221347.42778</v>
      </c>
      <c r="J10" s="268">
        <v>184989.73936000001</v>
      </c>
      <c r="K10" s="268">
        <f>SUM(J10+18901.1)</f>
        <v>203890.83936000001</v>
      </c>
      <c r="L10" s="281">
        <f>SUM(K10+33796.2)</f>
        <v>237687.03936</v>
      </c>
      <c r="M10" s="247">
        <f>L10-H10</f>
        <v>25451.739360000007</v>
      </c>
      <c r="N10" s="246"/>
      <c r="O10" s="202"/>
      <c r="Q10" s="284"/>
    </row>
    <row r="11" spans="1:17" ht="46.5" customHeight="1" x14ac:dyDescent="0.45">
      <c r="A11" s="261" t="s">
        <v>142</v>
      </c>
      <c r="B11" s="475" t="s">
        <v>70</v>
      </c>
      <c r="C11" s="476"/>
      <c r="D11" s="476"/>
      <c r="E11" s="476"/>
      <c r="F11" s="476"/>
      <c r="G11" s="476"/>
      <c r="H11" s="248">
        <v>2629.8</v>
      </c>
      <c r="I11" s="248">
        <v>3629.8</v>
      </c>
      <c r="J11" s="269">
        <v>4345.2745000000004</v>
      </c>
      <c r="K11" s="269">
        <f>SUM(J11+919.3885)</f>
        <v>5264.6630000000005</v>
      </c>
      <c r="L11" s="283">
        <f>SUM(K11+192.9)</f>
        <v>5457.5630000000001</v>
      </c>
      <c r="M11" s="249">
        <f>L11-H11</f>
        <v>2827.7629999999999</v>
      </c>
      <c r="N11" s="246"/>
      <c r="Q11" s="284"/>
    </row>
    <row r="12" spans="1:17" ht="69" customHeight="1" x14ac:dyDescent="0.45">
      <c r="A12" s="261" t="s">
        <v>143</v>
      </c>
      <c r="B12" s="475" t="s">
        <v>177</v>
      </c>
      <c r="C12" s="475"/>
      <c r="D12" s="475"/>
      <c r="E12" s="475"/>
      <c r="F12" s="475"/>
      <c r="G12" s="475"/>
      <c r="H12" s="248">
        <v>0</v>
      </c>
      <c r="I12" s="248">
        <v>61.790790000000001</v>
      </c>
      <c r="J12" s="269">
        <v>100.88041</v>
      </c>
      <c r="K12" s="269">
        <f>SUM(J12+39.08962)</f>
        <v>139.97003000000001</v>
      </c>
      <c r="L12" s="283">
        <f>SUM(K12)</f>
        <v>139.97003000000001</v>
      </c>
      <c r="M12" s="249">
        <f>L12-H12</f>
        <v>139.97003000000001</v>
      </c>
      <c r="N12" s="246"/>
      <c r="Q12" s="284"/>
    </row>
    <row r="13" spans="1:17" ht="29.25" customHeight="1" x14ac:dyDescent="0.45">
      <c r="A13" s="262" t="s">
        <v>19</v>
      </c>
      <c r="B13" s="477" t="s">
        <v>148</v>
      </c>
      <c r="C13" s="477"/>
      <c r="D13" s="477"/>
      <c r="E13" s="477"/>
      <c r="F13" s="477"/>
      <c r="G13" s="477"/>
      <c r="H13" s="249">
        <v>28142.5</v>
      </c>
      <c r="I13" s="248">
        <v>28142.5</v>
      </c>
      <c r="J13" s="269">
        <v>23093.7582</v>
      </c>
      <c r="K13" s="269">
        <f>SUM(J13+271.5)</f>
        <v>23365.2582</v>
      </c>
      <c r="L13" s="248">
        <f>SUM(K13+4646.7)</f>
        <v>28011.958200000001</v>
      </c>
      <c r="M13" s="249">
        <f t="shared" ref="M13" si="1">L13-H13</f>
        <v>-130.54179999999906</v>
      </c>
      <c r="N13" s="246"/>
      <c r="Q13" s="284"/>
    </row>
    <row r="14" spans="1:17" ht="21.75" customHeight="1" x14ac:dyDescent="0.45">
      <c r="A14" s="262" t="s">
        <v>20</v>
      </c>
      <c r="B14" s="471" t="s">
        <v>23</v>
      </c>
      <c r="C14" s="471"/>
      <c r="D14" s="471"/>
      <c r="E14" s="471"/>
      <c r="F14" s="471"/>
      <c r="G14" s="471"/>
      <c r="H14" s="247">
        <f>H16+H17+H15+H18</f>
        <v>25995.199999999997</v>
      </c>
      <c r="I14" s="247">
        <f t="shared" ref="I14:M14" si="2">I16+I17+I15+I18</f>
        <v>29152.477300000002</v>
      </c>
      <c r="J14" s="268">
        <f t="shared" si="2"/>
        <v>26008.333599999998</v>
      </c>
      <c r="K14" s="268">
        <f t="shared" si="2"/>
        <v>28222.633599999997</v>
      </c>
      <c r="L14" s="247">
        <f t="shared" si="2"/>
        <v>30942.2336</v>
      </c>
      <c r="M14" s="247">
        <f t="shared" si="2"/>
        <v>4947.0336000000016</v>
      </c>
      <c r="N14" s="246"/>
      <c r="Q14" s="284"/>
    </row>
    <row r="15" spans="1:17" ht="43.5" customHeight="1" x14ac:dyDescent="0.45">
      <c r="A15" s="261" t="s">
        <v>131</v>
      </c>
      <c r="B15" s="477" t="s">
        <v>81</v>
      </c>
      <c r="C15" s="477"/>
      <c r="D15" s="477"/>
      <c r="E15" s="477"/>
      <c r="F15" s="477"/>
      <c r="G15" s="477"/>
      <c r="H15" s="249">
        <v>4122.8999999999996</v>
      </c>
      <c r="I15" s="249">
        <v>5122.8999999999996</v>
      </c>
      <c r="J15" s="270">
        <v>3070.8</v>
      </c>
      <c r="K15" s="270">
        <f>SUM(J15+150)</f>
        <v>3220.8</v>
      </c>
      <c r="L15" s="249">
        <f>SUM(K15+1612.9)</f>
        <v>4833.7000000000007</v>
      </c>
      <c r="M15" s="249">
        <f t="shared" ref="M15:M23" si="3">L15-H15</f>
        <v>710.80000000000109</v>
      </c>
      <c r="N15" s="246"/>
      <c r="Q15" s="284"/>
    </row>
    <row r="16" spans="1:17" ht="22.5" customHeight="1" x14ac:dyDescent="0.45">
      <c r="A16" s="258" t="s">
        <v>132</v>
      </c>
      <c r="B16" s="258" t="s">
        <v>113</v>
      </c>
      <c r="C16" s="258"/>
      <c r="D16" s="258"/>
      <c r="E16" s="258"/>
      <c r="F16" s="258"/>
      <c r="G16" s="258"/>
      <c r="H16" s="249">
        <v>21857.3</v>
      </c>
      <c r="I16" s="249">
        <v>23857.3</v>
      </c>
      <c r="J16" s="270">
        <v>22762.799999999999</v>
      </c>
      <c r="K16" s="280">
        <f>SUM(J16+2064.3)</f>
        <v>24827.1</v>
      </c>
      <c r="L16" s="249">
        <f>SUM(K16+1106.7)</f>
        <v>25933.8</v>
      </c>
      <c r="M16" s="249">
        <f t="shared" si="3"/>
        <v>4076.5</v>
      </c>
      <c r="N16" s="246"/>
      <c r="O16" s="202"/>
      <c r="Q16" s="284"/>
    </row>
    <row r="17" spans="1:17" ht="22.5" customHeight="1" x14ac:dyDescent="0.45">
      <c r="A17" s="258" t="s">
        <v>26</v>
      </c>
      <c r="B17" s="258" t="s">
        <v>92</v>
      </c>
      <c r="C17" s="258"/>
      <c r="D17" s="258"/>
      <c r="E17" s="258"/>
      <c r="F17" s="258"/>
      <c r="G17" s="258"/>
      <c r="H17" s="249">
        <v>15</v>
      </c>
      <c r="I17" s="249">
        <v>171.84370000000001</v>
      </c>
      <c r="J17" s="270">
        <v>174.3</v>
      </c>
      <c r="K17" s="270">
        <f>J17</f>
        <v>174.3</v>
      </c>
      <c r="L17" s="249">
        <f>SUM(K17)</f>
        <v>174.3</v>
      </c>
      <c r="M17" s="249">
        <f t="shared" si="3"/>
        <v>159.30000000000001</v>
      </c>
      <c r="N17" s="246"/>
      <c r="Q17" s="284"/>
    </row>
    <row r="18" spans="1:17" ht="21" customHeight="1" x14ac:dyDescent="0.45">
      <c r="A18" s="263" t="s">
        <v>144</v>
      </c>
      <c r="B18" s="258" t="s">
        <v>3</v>
      </c>
      <c r="C18" s="258"/>
      <c r="D18" s="258"/>
      <c r="E18" s="258"/>
      <c r="F18" s="258"/>
      <c r="G18" s="258"/>
      <c r="H18" s="249">
        <v>0</v>
      </c>
      <c r="I18" s="249">
        <v>0.43359999999999999</v>
      </c>
      <c r="J18" s="270">
        <v>0.43359999999999999</v>
      </c>
      <c r="K18" s="270">
        <f>J18</f>
        <v>0.43359999999999999</v>
      </c>
      <c r="L18" s="249">
        <f>K18</f>
        <v>0.43359999999999999</v>
      </c>
      <c r="M18" s="249">
        <f t="shared" si="3"/>
        <v>0.43359999999999999</v>
      </c>
      <c r="N18" s="246"/>
      <c r="Q18" s="284"/>
    </row>
    <row r="19" spans="1:17" ht="24.75" customHeight="1" x14ac:dyDescent="0.45">
      <c r="A19" s="275" t="s">
        <v>21</v>
      </c>
      <c r="B19" s="487" t="s">
        <v>149</v>
      </c>
      <c r="C19" s="487"/>
      <c r="D19" s="487"/>
      <c r="E19" s="487"/>
      <c r="F19" s="487"/>
      <c r="G19" s="487"/>
      <c r="H19" s="247">
        <f>SUM(H20:H21)</f>
        <v>20689.3</v>
      </c>
      <c r="I19" s="247">
        <f>SUM(I20:I21)</f>
        <v>20689.3</v>
      </c>
      <c r="J19" s="268">
        <f t="shared" ref="J19:L19" si="4">SUM(J20:J21)</f>
        <v>9600.89912</v>
      </c>
      <c r="K19" s="268">
        <f t="shared" si="4"/>
        <v>16462.899120000002</v>
      </c>
      <c r="L19" s="247">
        <f t="shared" si="4"/>
        <v>19674.79912</v>
      </c>
      <c r="M19" s="247">
        <f t="shared" si="3"/>
        <v>-1014.5008799999996</v>
      </c>
      <c r="N19" s="246"/>
      <c r="Q19" s="284"/>
    </row>
    <row r="20" spans="1:17" ht="22.5" customHeight="1" x14ac:dyDescent="0.45">
      <c r="A20" s="258" t="s">
        <v>145</v>
      </c>
      <c r="B20" s="486" t="s">
        <v>129</v>
      </c>
      <c r="C20" s="486"/>
      <c r="D20" s="486"/>
      <c r="E20" s="486"/>
      <c r="F20" s="486"/>
      <c r="G20" s="486"/>
      <c r="H20" s="249">
        <v>9189.2999999999993</v>
      </c>
      <c r="I20" s="249">
        <v>9189.2999999999993</v>
      </c>
      <c r="J20" s="270">
        <v>3648.4301</v>
      </c>
      <c r="K20" s="270">
        <f>SUM(J20+3490)</f>
        <v>7138.4300999999996</v>
      </c>
      <c r="L20" s="249">
        <f>SUM(K20+1613.9)</f>
        <v>8752.3300999999992</v>
      </c>
      <c r="M20" s="249">
        <f t="shared" si="3"/>
        <v>-436.96990000000005</v>
      </c>
      <c r="N20" s="246"/>
      <c r="Q20" s="284"/>
    </row>
    <row r="21" spans="1:17" ht="21" customHeight="1" x14ac:dyDescent="0.45">
      <c r="A21" s="258" t="s">
        <v>146</v>
      </c>
      <c r="B21" s="477" t="s">
        <v>130</v>
      </c>
      <c r="C21" s="477"/>
      <c r="D21" s="477"/>
      <c r="E21" s="477"/>
      <c r="F21" s="477"/>
      <c r="G21" s="477"/>
      <c r="H21" s="249">
        <v>11500</v>
      </c>
      <c r="I21" s="249">
        <v>11500</v>
      </c>
      <c r="J21" s="270">
        <v>5952.4690199999995</v>
      </c>
      <c r="K21" s="270">
        <f>SUM(J21+3372)</f>
        <v>9324.4690200000005</v>
      </c>
      <c r="L21" s="280">
        <f>SUM(K21+1598)</f>
        <v>10922.46902</v>
      </c>
      <c r="M21" s="280">
        <f t="shared" si="3"/>
        <v>-577.53097999999954</v>
      </c>
      <c r="N21" s="246"/>
      <c r="Q21" s="284"/>
    </row>
    <row r="22" spans="1:17" ht="22.5" customHeight="1" x14ac:dyDescent="0.45">
      <c r="A22" s="288" t="s">
        <v>133</v>
      </c>
      <c r="B22" s="471" t="s">
        <v>150</v>
      </c>
      <c r="C22" s="471"/>
      <c r="D22" s="471"/>
      <c r="E22" s="471"/>
      <c r="F22" s="471"/>
      <c r="G22" s="471"/>
      <c r="H22" s="247">
        <v>6188.2</v>
      </c>
      <c r="I22" s="247">
        <v>6188.2</v>
      </c>
      <c r="J22" s="268">
        <v>3922.77711</v>
      </c>
      <c r="K22" s="268">
        <f>SUM(J22+569.9)</f>
        <v>4492.6771099999996</v>
      </c>
      <c r="L22" s="247">
        <f>SUM(K22+598.4)</f>
        <v>5091.0771099999993</v>
      </c>
      <c r="M22" s="247">
        <f t="shared" si="3"/>
        <v>-1097.1228900000006</v>
      </c>
      <c r="N22" s="246"/>
      <c r="Q22" s="284"/>
    </row>
    <row r="23" spans="1:17" x14ac:dyDescent="0.45">
      <c r="A23" s="288" t="s">
        <v>147</v>
      </c>
      <c r="B23" s="471" t="s">
        <v>41</v>
      </c>
      <c r="C23" s="471"/>
      <c r="D23" s="471"/>
      <c r="E23" s="471"/>
      <c r="F23" s="471"/>
      <c r="G23" s="471"/>
      <c r="H23" s="247">
        <v>0</v>
      </c>
      <c r="I23" s="247">
        <v>0</v>
      </c>
      <c r="J23" s="268">
        <v>0</v>
      </c>
      <c r="K23" s="268">
        <f>J23</f>
        <v>0</v>
      </c>
      <c r="L23" s="247">
        <f>J23</f>
        <v>0</v>
      </c>
      <c r="M23" s="247">
        <f t="shared" si="3"/>
        <v>0</v>
      </c>
      <c r="N23" s="250"/>
      <c r="Q23" s="284"/>
    </row>
    <row r="24" spans="1:17" ht="27" customHeight="1" x14ac:dyDescent="0.45">
      <c r="A24" s="292" t="s">
        <v>7</v>
      </c>
      <c r="B24" s="491" t="s">
        <v>31</v>
      </c>
      <c r="C24" s="491"/>
      <c r="D24" s="491"/>
      <c r="E24" s="491"/>
      <c r="F24" s="491"/>
      <c r="G24" s="491"/>
      <c r="H24" s="293">
        <f t="shared" ref="H24:M24" si="5">SUM(H26+H32+H33+H37+H42+H43+H44+H45)</f>
        <v>32970.799999999996</v>
      </c>
      <c r="I24" s="293">
        <f t="shared" si="5"/>
        <v>42451.691780000001</v>
      </c>
      <c r="J24" s="293">
        <f t="shared" si="5"/>
        <v>38605.905650000001</v>
      </c>
      <c r="K24" s="293">
        <f t="shared" si="5"/>
        <v>41660.034659999998</v>
      </c>
      <c r="L24" s="293">
        <f t="shared" si="5"/>
        <v>44977.7</v>
      </c>
      <c r="M24" s="293">
        <f t="shared" si="5"/>
        <v>12006.899999999998</v>
      </c>
      <c r="N24" s="246"/>
      <c r="Q24" s="284"/>
    </row>
    <row r="25" spans="1:17" ht="22.5" customHeight="1" x14ac:dyDescent="0.45">
      <c r="A25" s="258"/>
      <c r="B25" s="288" t="s">
        <v>2</v>
      </c>
      <c r="C25" s="288"/>
      <c r="D25" s="288"/>
      <c r="E25" s="288"/>
      <c r="F25" s="288"/>
      <c r="G25" s="288"/>
      <c r="H25" s="247"/>
      <c r="I25" s="247"/>
      <c r="J25" s="268"/>
      <c r="K25" s="268"/>
      <c r="L25" s="247"/>
      <c r="M25" s="247"/>
      <c r="N25" s="246"/>
      <c r="Q25" s="284"/>
    </row>
    <row r="26" spans="1:17" ht="40.5" customHeight="1" x14ac:dyDescent="0.45">
      <c r="A26" s="288" t="s">
        <v>9</v>
      </c>
      <c r="B26" s="471" t="s">
        <v>17</v>
      </c>
      <c r="C26" s="471"/>
      <c r="D26" s="471"/>
      <c r="E26" s="471"/>
      <c r="F26" s="471"/>
      <c r="G26" s="471"/>
      <c r="H26" s="247">
        <f>SUM(H27:H31)</f>
        <v>14500.400000000001</v>
      </c>
      <c r="I26" s="290">
        <f t="shared" ref="I26:M26" si="6">SUM(I27:I31)</f>
        <v>18342.207210000004</v>
      </c>
      <c r="J26" s="247">
        <f t="shared" si="6"/>
        <v>14427.693529999999</v>
      </c>
      <c r="K26" s="247">
        <f t="shared" si="6"/>
        <v>16214.393529999998</v>
      </c>
      <c r="L26" s="247">
        <f t="shared" si="6"/>
        <v>17666.5</v>
      </c>
      <c r="M26" s="247">
        <f t="shared" si="6"/>
        <v>3166.0999999999985</v>
      </c>
      <c r="N26" s="246"/>
      <c r="Q26" s="284"/>
    </row>
    <row r="27" spans="1:17" ht="31.5" customHeight="1" x14ac:dyDescent="0.45">
      <c r="A27" s="258" t="s">
        <v>9</v>
      </c>
      <c r="B27" s="477" t="s">
        <v>151</v>
      </c>
      <c r="C27" s="477"/>
      <c r="D27" s="477"/>
      <c r="E27" s="477"/>
      <c r="F27" s="477"/>
      <c r="G27" s="477"/>
      <c r="H27" s="249">
        <v>8153.5</v>
      </c>
      <c r="I27" s="249">
        <v>11869.72003</v>
      </c>
      <c r="J27" s="270">
        <v>9980.2999999999993</v>
      </c>
      <c r="K27" s="280">
        <f>SUM(J27+1263.1)</f>
        <v>11243.4</v>
      </c>
      <c r="L27" s="280">
        <f>SUM(K27+546.8)</f>
        <v>11790.199999999999</v>
      </c>
      <c r="M27" s="280">
        <f t="shared" ref="M27:M56" si="7">L27-H27</f>
        <v>3636.6999999999989</v>
      </c>
      <c r="N27" s="246"/>
      <c r="Q27" s="284"/>
    </row>
    <row r="28" spans="1:17" ht="32.25" customHeight="1" x14ac:dyDescent="0.45">
      <c r="A28" s="258" t="s">
        <v>10</v>
      </c>
      <c r="B28" s="477" t="s">
        <v>134</v>
      </c>
      <c r="C28" s="477"/>
      <c r="D28" s="477"/>
      <c r="E28" s="477"/>
      <c r="F28" s="477"/>
      <c r="G28" s="477"/>
      <c r="H28" s="249">
        <v>6035.7</v>
      </c>
      <c r="I28" s="249">
        <v>6035.7</v>
      </c>
      <c r="J28" s="280">
        <v>4044.8990100000001</v>
      </c>
      <c r="K28" s="280">
        <f>SUM(J28+494.2)</f>
        <v>4539.0990099999999</v>
      </c>
      <c r="L28" s="280">
        <v>5420.9</v>
      </c>
      <c r="M28" s="280">
        <f t="shared" si="7"/>
        <v>-614.80000000000018</v>
      </c>
      <c r="N28" s="246"/>
      <c r="Q28" s="284"/>
    </row>
    <row r="29" spans="1:17" x14ac:dyDescent="0.45">
      <c r="A29" s="258" t="s">
        <v>11</v>
      </c>
      <c r="B29" s="477" t="s">
        <v>44</v>
      </c>
      <c r="C29" s="477"/>
      <c r="D29" s="477"/>
      <c r="E29" s="477"/>
      <c r="F29" s="477"/>
      <c r="G29" s="477"/>
      <c r="H29" s="249">
        <v>10.5</v>
      </c>
      <c r="I29" s="249">
        <v>33.9</v>
      </c>
      <c r="J29" s="280">
        <v>33.9</v>
      </c>
      <c r="K29" s="270">
        <f t="shared" ref="K29:L31" si="8">SUM(J29)</f>
        <v>33.9</v>
      </c>
      <c r="L29" s="249">
        <f t="shared" si="8"/>
        <v>33.9</v>
      </c>
      <c r="M29" s="251">
        <f>L29-H29</f>
        <v>23.4</v>
      </c>
      <c r="N29" s="250"/>
      <c r="Q29" s="284"/>
    </row>
    <row r="30" spans="1:17" x14ac:dyDescent="0.45">
      <c r="A30" s="258" t="s">
        <v>12</v>
      </c>
      <c r="B30" s="477" t="s">
        <v>46</v>
      </c>
      <c r="C30" s="477"/>
      <c r="D30" s="477"/>
      <c r="E30" s="477"/>
      <c r="F30" s="477"/>
      <c r="G30" s="477"/>
      <c r="H30" s="249">
        <v>300.7</v>
      </c>
      <c r="I30" s="249">
        <v>400.7</v>
      </c>
      <c r="J30" s="280">
        <v>364.4</v>
      </c>
      <c r="K30" s="270">
        <f>SUM(J30+29.4)</f>
        <v>393.79999999999995</v>
      </c>
      <c r="L30" s="249">
        <f>SUM(K30+23.5)</f>
        <v>417.29999999999995</v>
      </c>
      <c r="M30" s="251">
        <f t="shared" si="7"/>
        <v>116.59999999999997</v>
      </c>
      <c r="N30" s="250"/>
      <c r="Q30" s="284"/>
    </row>
    <row r="31" spans="1:17" ht="24" customHeight="1" x14ac:dyDescent="0.45">
      <c r="A31" s="276" t="s">
        <v>13</v>
      </c>
      <c r="B31" s="477" t="s">
        <v>137</v>
      </c>
      <c r="C31" s="477"/>
      <c r="D31" s="477"/>
      <c r="E31" s="477"/>
      <c r="F31" s="477"/>
      <c r="G31" s="477"/>
      <c r="H31" s="249">
        <v>0</v>
      </c>
      <c r="I31" s="249">
        <v>2.1871800000000001</v>
      </c>
      <c r="J31" s="270">
        <v>4.1945199999999998</v>
      </c>
      <c r="K31" s="270">
        <f t="shared" si="8"/>
        <v>4.1945199999999998</v>
      </c>
      <c r="L31" s="249">
        <v>4.2</v>
      </c>
      <c r="M31" s="251">
        <f t="shared" si="7"/>
        <v>4.2</v>
      </c>
      <c r="N31" s="250"/>
      <c r="Q31" s="284"/>
    </row>
    <row r="32" spans="1:17" x14ac:dyDescent="0.45">
      <c r="A32" s="286" t="s">
        <v>10</v>
      </c>
      <c r="B32" s="479" t="s">
        <v>30</v>
      </c>
      <c r="C32" s="479"/>
      <c r="D32" s="479"/>
      <c r="E32" s="479"/>
      <c r="F32" s="479"/>
      <c r="G32" s="479"/>
      <c r="H32" s="281">
        <v>43.8</v>
      </c>
      <c r="I32" s="281">
        <v>43.8</v>
      </c>
      <c r="J32" s="281">
        <v>31.417490000000001</v>
      </c>
      <c r="K32" s="281">
        <f>SUM(J32+0.4)</f>
        <v>31.817489999999999</v>
      </c>
      <c r="L32" s="281">
        <v>33.799999999999997</v>
      </c>
      <c r="M32" s="281">
        <f t="shared" si="7"/>
        <v>-10</v>
      </c>
      <c r="N32" s="250"/>
      <c r="Q32" s="284"/>
    </row>
    <row r="33" spans="1:20" ht="45.75" customHeight="1" x14ac:dyDescent="0.45">
      <c r="A33" s="262" t="s">
        <v>11</v>
      </c>
      <c r="B33" s="471" t="s">
        <v>72</v>
      </c>
      <c r="C33" s="471"/>
      <c r="D33" s="471"/>
      <c r="E33" s="471"/>
      <c r="F33" s="471"/>
      <c r="G33" s="471"/>
      <c r="H33" s="247">
        <f>SUM(H34:H36)</f>
        <v>15473.4</v>
      </c>
      <c r="I33" s="247">
        <f t="shared" ref="I33:L33" si="9">SUM(I34:I36)</f>
        <v>17764.296010000002</v>
      </c>
      <c r="J33" s="247">
        <f t="shared" si="9"/>
        <v>17035.286099999998</v>
      </c>
      <c r="K33" s="247">
        <f t="shared" si="9"/>
        <v>18737.886100000003</v>
      </c>
      <c r="L33" s="247">
        <f t="shared" si="9"/>
        <v>20371.599999999999</v>
      </c>
      <c r="M33" s="252">
        <f t="shared" si="7"/>
        <v>4898.1999999999989</v>
      </c>
      <c r="N33" s="246"/>
      <c r="Q33" s="284"/>
    </row>
    <row r="34" spans="1:20" x14ac:dyDescent="0.45">
      <c r="A34" s="261" t="s">
        <v>33</v>
      </c>
      <c r="B34" s="477" t="s">
        <v>73</v>
      </c>
      <c r="C34" s="477"/>
      <c r="D34" s="477"/>
      <c r="E34" s="477"/>
      <c r="F34" s="477"/>
      <c r="G34" s="477"/>
      <c r="H34" s="253">
        <v>14410.9</v>
      </c>
      <c r="I34" s="249">
        <v>14492.0615</v>
      </c>
      <c r="J34" s="270">
        <v>13231.327359999999</v>
      </c>
      <c r="K34" s="280">
        <f>SUM(J34+1614.7)</f>
        <v>14846.02736</v>
      </c>
      <c r="L34" s="280">
        <v>16360</v>
      </c>
      <c r="M34" s="280">
        <f t="shared" si="7"/>
        <v>1949.1000000000004</v>
      </c>
      <c r="N34" s="246"/>
      <c r="Q34" s="284"/>
    </row>
    <row r="35" spans="1:20" x14ac:dyDescent="0.45">
      <c r="A35" s="261" t="s">
        <v>34</v>
      </c>
      <c r="B35" s="289" t="s">
        <v>178</v>
      </c>
      <c r="C35" s="289"/>
      <c r="D35" s="289"/>
      <c r="E35" s="289"/>
      <c r="F35" s="289"/>
      <c r="G35" s="289"/>
      <c r="H35" s="253">
        <v>491.1</v>
      </c>
      <c r="I35" s="249">
        <v>2700.8345100000001</v>
      </c>
      <c r="J35" s="270">
        <v>3065.2714799999999</v>
      </c>
      <c r="K35" s="280">
        <f>SUM(J35+40.6)</f>
        <v>3105.8714799999998</v>
      </c>
      <c r="L35" s="280">
        <v>3161.1</v>
      </c>
      <c r="M35" s="280">
        <f t="shared" si="7"/>
        <v>2670</v>
      </c>
      <c r="N35" s="246"/>
      <c r="Q35" s="284"/>
    </row>
    <row r="36" spans="1:20" ht="45.75" customHeight="1" x14ac:dyDescent="0.45">
      <c r="A36" s="261" t="s">
        <v>77</v>
      </c>
      <c r="B36" s="477" t="s">
        <v>76</v>
      </c>
      <c r="C36" s="477"/>
      <c r="D36" s="477"/>
      <c r="E36" s="477"/>
      <c r="F36" s="477"/>
      <c r="G36" s="477"/>
      <c r="H36" s="254">
        <v>571.4</v>
      </c>
      <c r="I36" s="249">
        <v>571.4</v>
      </c>
      <c r="J36" s="270">
        <v>738.68726000000004</v>
      </c>
      <c r="K36" s="280">
        <f>SUM(J36+47.3)</f>
        <v>785.98725999999999</v>
      </c>
      <c r="L36" s="280">
        <v>850.5</v>
      </c>
      <c r="M36" s="280">
        <f t="shared" si="7"/>
        <v>279.10000000000002</v>
      </c>
      <c r="N36" s="246"/>
      <c r="Q36" s="284"/>
    </row>
    <row r="37" spans="1:20" ht="44.25" customHeight="1" x14ac:dyDescent="0.45">
      <c r="A37" s="288" t="s">
        <v>12</v>
      </c>
      <c r="B37" s="471" t="s">
        <v>36</v>
      </c>
      <c r="C37" s="471"/>
      <c r="D37" s="471"/>
      <c r="E37" s="471"/>
      <c r="F37" s="471"/>
      <c r="G37" s="471"/>
      <c r="H37" s="247">
        <f>SUM(H38:H41)</f>
        <v>2400</v>
      </c>
      <c r="I37" s="247">
        <f t="shared" ref="I37:M37" si="10">SUM(I38:I41)</f>
        <v>3487.28856</v>
      </c>
      <c r="J37" s="247">
        <f t="shared" si="10"/>
        <v>3761.4941000000003</v>
      </c>
      <c r="K37" s="247">
        <f t="shared" si="10"/>
        <v>3761.4941000000003</v>
      </c>
      <c r="L37" s="247">
        <f t="shared" si="10"/>
        <v>3912.9</v>
      </c>
      <c r="M37" s="247">
        <f t="shared" si="10"/>
        <v>1512.9</v>
      </c>
      <c r="N37" s="246"/>
      <c r="Q37" s="284"/>
    </row>
    <row r="38" spans="1:20" ht="29.25" customHeight="1" x14ac:dyDescent="0.45">
      <c r="A38" s="258" t="s">
        <v>152</v>
      </c>
      <c r="B38" s="477" t="s">
        <v>140</v>
      </c>
      <c r="C38" s="477"/>
      <c r="D38" s="477"/>
      <c r="E38" s="477"/>
      <c r="F38" s="477"/>
      <c r="G38" s="477"/>
      <c r="H38" s="249">
        <v>500</v>
      </c>
      <c r="I38" s="249">
        <v>1110.2080000000001</v>
      </c>
      <c r="J38" s="270">
        <v>1110.2080000000001</v>
      </c>
      <c r="K38" s="270">
        <f>SUM(J38)</f>
        <v>1110.2080000000001</v>
      </c>
      <c r="L38" s="249">
        <v>1110.2</v>
      </c>
      <c r="M38" s="251">
        <f t="shared" si="7"/>
        <v>610.20000000000005</v>
      </c>
      <c r="N38" s="246"/>
      <c r="Q38" s="284"/>
    </row>
    <row r="39" spans="1:20" ht="72" customHeight="1" x14ac:dyDescent="0.45">
      <c r="A39" s="258" t="s">
        <v>153</v>
      </c>
      <c r="B39" s="477" t="s">
        <v>165</v>
      </c>
      <c r="C39" s="477"/>
      <c r="D39" s="477"/>
      <c r="E39" s="477"/>
      <c r="F39" s="477"/>
      <c r="G39" s="477"/>
      <c r="H39" s="249">
        <v>1500</v>
      </c>
      <c r="I39" s="249">
        <v>1500</v>
      </c>
      <c r="J39" s="270">
        <v>1642.5725600000001</v>
      </c>
      <c r="K39" s="270">
        <f>SUM(J39)</f>
        <v>1642.5725600000001</v>
      </c>
      <c r="L39" s="249">
        <v>1794</v>
      </c>
      <c r="M39" s="251">
        <f t="shared" si="7"/>
        <v>294</v>
      </c>
      <c r="N39" s="246"/>
      <c r="Q39" s="284"/>
    </row>
    <row r="40" spans="1:20" ht="106.5" customHeight="1" x14ac:dyDescent="0.45">
      <c r="A40" s="258" t="s">
        <v>157</v>
      </c>
      <c r="B40" s="477" t="s">
        <v>79</v>
      </c>
      <c r="C40" s="477"/>
      <c r="D40" s="477"/>
      <c r="E40" s="477"/>
      <c r="F40" s="477"/>
      <c r="G40" s="477"/>
      <c r="H40" s="249">
        <v>400</v>
      </c>
      <c r="I40" s="249">
        <v>855.42056000000002</v>
      </c>
      <c r="J40" s="270">
        <v>943.81754000000001</v>
      </c>
      <c r="K40" s="270">
        <f>SUM(J40)</f>
        <v>943.81754000000001</v>
      </c>
      <c r="L40" s="249">
        <v>943.8</v>
      </c>
      <c r="M40" s="251">
        <f t="shared" si="7"/>
        <v>543.79999999999995</v>
      </c>
      <c r="N40" s="246"/>
      <c r="Q40" s="284"/>
    </row>
    <row r="41" spans="1:20" ht="45.75" customHeight="1" x14ac:dyDescent="0.45">
      <c r="A41" s="258" t="s">
        <v>158</v>
      </c>
      <c r="B41" s="477" t="s">
        <v>179</v>
      </c>
      <c r="C41" s="477"/>
      <c r="D41" s="477"/>
      <c r="E41" s="477"/>
      <c r="F41" s="477"/>
      <c r="G41" s="477"/>
      <c r="H41" s="249">
        <v>0</v>
      </c>
      <c r="I41" s="249">
        <v>21.66</v>
      </c>
      <c r="J41" s="270">
        <v>64.896000000000001</v>
      </c>
      <c r="K41" s="270">
        <f>J41</f>
        <v>64.896000000000001</v>
      </c>
      <c r="L41" s="249">
        <v>64.900000000000006</v>
      </c>
      <c r="M41" s="251">
        <f t="shared" si="7"/>
        <v>64.900000000000006</v>
      </c>
      <c r="N41" s="246"/>
      <c r="Q41" s="284"/>
    </row>
    <row r="42" spans="1:20" ht="21.75" customHeight="1" x14ac:dyDescent="0.45">
      <c r="A42" s="288" t="s">
        <v>13</v>
      </c>
      <c r="B42" s="478" t="s">
        <v>6</v>
      </c>
      <c r="C42" s="478"/>
      <c r="D42" s="478"/>
      <c r="E42" s="478"/>
      <c r="F42" s="478"/>
      <c r="G42" s="478"/>
      <c r="H42" s="247">
        <v>553.20000000000005</v>
      </c>
      <c r="I42" s="247">
        <v>553.20000000000005</v>
      </c>
      <c r="J42" s="281">
        <v>601.04344000000003</v>
      </c>
      <c r="K42" s="268">
        <f>SUM(J42+52.3)</f>
        <v>653.34343999999999</v>
      </c>
      <c r="L42" s="247">
        <v>731.8</v>
      </c>
      <c r="M42" s="252">
        <f t="shared" si="7"/>
        <v>178.59999999999991</v>
      </c>
      <c r="N42" s="246"/>
      <c r="Q42" s="284"/>
    </row>
    <row r="43" spans="1:20" ht="20.25" customHeight="1" x14ac:dyDescent="0.45">
      <c r="A43" s="288" t="s">
        <v>14</v>
      </c>
      <c r="B43" s="471" t="s">
        <v>155</v>
      </c>
      <c r="C43" s="471"/>
      <c r="D43" s="471"/>
      <c r="E43" s="471"/>
      <c r="F43" s="471"/>
      <c r="G43" s="471"/>
      <c r="H43" s="247">
        <v>0</v>
      </c>
      <c r="I43" s="247">
        <v>0</v>
      </c>
      <c r="J43" s="268">
        <v>200.2</v>
      </c>
      <c r="K43" s="268">
        <v>0.2</v>
      </c>
      <c r="L43" s="247">
        <f>SUM(K43)</f>
        <v>0.2</v>
      </c>
      <c r="M43" s="252">
        <f t="shared" si="7"/>
        <v>0.2</v>
      </c>
      <c r="N43" s="279"/>
      <c r="Q43" s="284"/>
    </row>
    <row r="44" spans="1:20" ht="19.5" customHeight="1" x14ac:dyDescent="0.45">
      <c r="A44" s="288" t="s">
        <v>154</v>
      </c>
      <c r="B44" s="479" t="s">
        <v>15</v>
      </c>
      <c r="C44" s="479"/>
      <c r="D44" s="479"/>
      <c r="E44" s="479"/>
      <c r="F44" s="479"/>
      <c r="G44" s="479"/>
      <c r="H44" s="247">
        <v>0</v>
      </c>
      <c r="I44" s="247">
        <v>0</v>
      </c>
      <c r="J44" s="268">
        <v>287.87099000000001</v>
      </c>
      <c r="K44" s="268">
        <v>0</v>
      </c>
      <c r="L44" s="247">
        <v>0</v>
      </c>
      <c r="M44" s="252">
        <f t="shared" si="7"/>
        <v>0</v>
      </c>
      <c r="N44" s="250"/>
      <c r="Q44" s="284"/>
    </row>
    <row r="45" spans="1:20" ht="21" customHeight="1" x14ac:dyDescent="0.45">
      <c r="A45" s="262" t="s">
        <v>156</v>
      </c>
      <c r="B45" s="471" t="s">
        <v>136</v>
      </c>
      <c r="C45" s="471"/>
      <c r="D45" s="471"/>
      <c r="E45" s="471"/>
      <c r="F45" s="471"/>
      <c r="G45" s="471"/>
      <c r="H45" s="247">
        <v>0</v>
      </c>
      <c r="I45" s="247">
        <v>2260.9</v>
      </c>
      <c r="J45" s="268">
        <v>2260.9</v>
      </c>
      <c r="K45" s="268">
        <f>SUM(J45)</f>
        <v>2260.9</v>
      </c>
      <c r="L45" s="247">
        <f>SUM(K45)</f>
        <v>2260.9</v>
      </c>
      <c r="M45" s="252">
        <f t="shared" si="7"/>
        <v>2260.9</v>
      </c>
      <c r="N45" s="246"/>
      <c r="Q45" s="284"/>
    </row>
    <row r="46" spans="1:20" ht="21.75" customHeight="1" x14ac:dyDescent="0.45">
      <c r="A46" s="264"/>
      <c r="B46" s="480" t="s">
        <v>32</v>
      </c>
      <c r="C46" s="480"/>
      <c r="D46" s="480"/>
      <c r="E46" s="480"/>
      <c r="F46" s="480"/>
      <c r="G46" s="480"/>
      <c r="H46" s="265">
        <f t="shared" ref="H46:M46" si="11">SUM(H8+H24)</f>
        <v>326221.3</v>
      </c>
      <c r="I46" s="265">
        <f t="shared" si="11"/>
        <v>347971.59685999999</v>
      </c>
      <c r="J46" s="265">
        <f t="shared" si="11"/>
        <v>286221.41304000001</v>
      </c>
      <c r="K46" s="265">
        <f t="shared" si="11"/>
        <v>318094.34205000004</v>
      </c>
      <c r="L46" s="265">
        <f t="shared" si="11"/>
        <v>366384.80738999997</v>
      </c>
      <c r="M46" s="265">
        <f t="shared" si="11"/>
        <v>40163.507390000013</v>
      </c>
      <c r="N46" s="277"/>
      <c r="Q46" s="284"/>
      <c r="R46" s="284"/>
      <c r="S46" s="291"/>
      <c r="T46" s="284"/>
    </row>
    <row r="47" spans="1:20" ht="21" customHeight="1" x14ac:dyDescent="0.45">
      <c r="A47" s="266" t="s">
        <v>40</v>
      </c>
      <c r="B47" s="474" t="s">
        <v>56</v>
      </c>
      <c r="C47" s="474"/>
      <c r="D47" s="474"/>
      <c r="E47" s="474"/>
      <c r="F47" s="474"/>
      <c r="G47" s="474"/>
      <c r="H47" s="247">
        <f>H48+H55+H53+H54</f>
        <v>1082939.2000000002</v>
      </c>
      <c r="I47" s="247">
        <f t="shared" ref="I47" si="12">I48+I55+I53+I54</f>
        <v>1372757.9</v>
      </c>
      <c r="J47" s="268">
        <f>J48+J55+J53+J54</f>
        <v>1044063.7</v>
      </c>
      <c r="K47" s="268">
        <f t="shared" ref="K47:M47" si="13">K48+K55+K53+K54</f>
        <v>1206518.3</v>
      </c>
      <c r="L47" s="247">
        <f t="shared" si="13"/>
        <v>1372973.3</v>
      </c>
      <c r="M47" s="257">
        <f t="shared" si="13"/>
        <v>290034.0999999998</v>
      </c>
      <c r="N47" s="246"/>
      <c r="Q47" s="284"/>
      <c r="R47" s="284"/>
      <c r="S47" s="291"/>
    </row>
    <row r="48" spans="1:20" x14ac:dyDescent="0.45">
      <c r="A48" s="267" t="s">
        <v>47</v>
      </c>
      <c r="B48" s="483" t="s">
        <v>65</v>
      </c>
      <c r="C48" s="483"/>
      <c r="D48" s="483"/>
      <c r="E48" s="483"/>
      <c r="F48" s="483"/>
      <c r="G48" s="483"/>
      <c r="H48" s="247">
        <f>SUM(H49:H52)</f>
        <v>1082939.2000000002</v>
      </c>
      <c r="I48" s="247">
        <f>SUM(I49:I52)</f>
        <v>1375664.5</v>
      </c>
      <c r="J48" s="268">
        <f>SUM(J49:J52)</f>
        <v>1046754.8999999999</v>
      </c>
      <c r="K48" s="268">
        <f>SUM(K49:K52)</f>
        <v>1209209.5</v>
      </c>
      <c r="L48" s="247">
        <f>SUM(L49:L52)</f>
        <v>1375664.5</v>
      </c>
      <c r="M48" s="247">
        <f>L48-H48</f>
        <v>292725.29999999981</v>
      </c>
      <c r="N48" s="246"/>
      <c r="Q48" s="284"/>
    </row>
    <row r="49" spans="1:23" ht="19.5" customHeight="1" x14ac:dyDescent="0.45">
      <c r="A49" s="267" t="s">
        <v>66</v>
      </c>
      <c r="B49" s="481" t="s">
        <v>57</v>
      </c>
      <c r="C49" s="481"/>
      <c r="D49" s="481"/>
      <c r="E49" s="481"/>
      <c r="F49" s="481"/>
      <c r="G49" s="481"/>
      <c r="H49" s="249">
        <v>439964</v>
      </c>
      <c r="I49" s="249">
        <v>443964</v>
      </c>
      <c r="J49" s="270">
        <v>358599.5</v>
      </c>
      <c r="K49" s="270">
        <f>J49+40682</f>
        <v>399281.5</v>
      </c>
      <c r="L49" s="249">
        <f>SUM(I49)</f>
        <v>443964</v>
      </c>
      <c r="M49" s="249">
        <f>L49-H49</f>
        <v>4000</v>
      </c>
      <c r="N49" s="246"/>
      <c r="Q49" s="284"/>
    </row>
    <row r="50" spans="1:23" ht="18.75" customHeight="1" x14ac:dyDescent="0.45">
      <c r="A50" s="267" t="s">
        <v>67</v>
      </c>
      <c r="B50" s="481" t="s">
        <v>59</v>
      </c>
      <c r="C50" s="481"/>
      <c r="D50" s="481"/>
      <c r="E50" s="481"/>
      <c r="F50" s="481"/>
      <c r="G50" s="481"/>
      <c r="H50" s="249">
        <v>214956.7</v>
      </c>
      <c r="I50" s="249">
        <v>479949.2</v>
      </c>
      <c r="J50" s="270">
        <v>292051.20000000001</v>
      </c>
      <c r="K50" s="270">
        <f>J50+93949</f>
        <v>386000.2</v>
      </c>
      <c r="L50" s="249">
        <f t="shared" ref="L50:L55" si="14">SUM(I50)</f>
        <v>479949.2</v>
      </c>
      <c r="M50" s="249">
        <f>L50-H50</f>
        <v>264992.5</v>
      </c>
      <c r="N50" s="246"/>
      <c r="Q50" s="284"/>
    </row>
    <row r="51" spans="1:23" ht="18.75" customHeight="1" x14ac:dyDescent="0.45">
      <c r="A51" s="267" t="s">
        <v>68</v>
      </c>
      <c r="B51" s="481" t="s">
        <v>60</v>
      </c>
      <c r="C51" s="481"/>
      <c r="D51" s="481"/>
      <c r="E51" s="481"/>
      <c r="F51" s="481"/>
      <c r="G51" s="481"/>
      <c r="H51" s="249">
        <v>427883.4</v>
      </c>
      <c r="I51" s="249">
        <v>445435.4</v>
      </c>
      <c r="J51" s="270">
        <v>390455.5</v>
      </c>
      <c r="K51" s="270">
        <f>J51+27490</f>
        <v>417945.5</v>
      </c>
      <c r="L51" s="249">
        <f t="shared" si="14"/>
        <v>445435.4</v>
      </c>
      <c r="M51" s="249">
        <f t="shared" si="7"/>
        <v>17552</v>
      </c>
      <c r="N51" s="246"/>
      <c r="Q51" s="284"/>
    </row>
    <row r="52" spans="1:23" ht="17.25" customHeight="1" x14ac:dyDescent="0.45">
      <c r="A52" s="267" t="s">
        <v>69</v>
      </c>
      <c r="B52" s="481" t="s">
        <v>62</v>
      </c>
      <c r="C52" s="481"/>
      <c r="D52" s="481"/>
      <c r="E52" s="481"/>
      <c r="F52" s="481"/>
      <c r="G52" s="481"/>
      <c r="H52" s="249">
        <v>135.1</v>
      </c>
      <c r="I52" s="249">
        <v>6315.9</v>
      </c>
      <c r="J52" s="270">
        <v>5648.7</v>
      </c>
      <c r="K52" s="270">
        <f>J52+333.6</f>
        <v>5982.3</v>
      </c>
      <c r="L52" s="249">
        <f t="shared" si="14"/>
        <v>6315.9</v>
      </c>
      <c r="M52" s="249">
        <f t="shared" si="7"/>
        <v>6180.7999999999993</v>
      </c>
      <c r="N52" s="246"/>
      <c r="Q52" s="284"/>
    </row>
    <row r="53" spans="1:23" ht="57.75" customHeight="1" x14ac:dyDescent="0.45">
      <c r="A53" s="267" t="s">
        <v>58</v>
      </c>
      <c r="B53" s="481" t="s">
        <v>181</v>
      </c>
      <c r="C53" s="481"/>
      <c r="D53" s="481"/>
      <c r="E53" s="481"/>
      <c r="F53" s="481"/>
      <c r="G53" s="481"/>
      <c r="H53" s="249">
        <v>0</v>
      </c>
      <c r="I53" s="249">
        <v>29.4</v>
      </c>
      <c r="J53" s="249">
        <v>44.8</v>
      </c>
      <c r="K53" s="249">
        <f t="shared" ref="K53:K55" si="15">J53</f>
        <v>44.8</v>
      </c>
      <c r="L53" s="249">
        <f>SUM(K53)</f>
        <v>44.8</v>
      </c>
      <c r="M53" s="249">
        <f t="shared" si="7"/>
        <v>44.8</v>
      </c>
      <c r="N53" s="246"/>
      <c r="Q53" s="284"/>
    </row>
    <row r="54" spans="1:23" ht="21.75" customHeight="1" x14ac:dyDescent="0.45">
      <c r="A54" s="267" t="s">
        <v>61</v>
      </c>
      <c r="B54" s="481" t="s">
        <v>74</v>
      </c>
      <c r="C54" s="481"/>
      <c r="D54" s="481"/>
      <c r="E54" s="481"/>
      <c r="F54" s="481"/>
      <c r="G54" s="481"/>
      <c r="H54" s="249">
        <v>0</v>
      </c>
      <c r="I54" s="249">
        <v>0</v>
      </c>
      <c r="J54" s="249">
        <v>200</v>
      </c>
      <c r="K54" s="249">
        <f t="shared" si="15"/>
        <v>200</v>
      </c>
      <c r="L54" s="249">
        <f>SUM(K54)</f>
        <v>200</v>
      </c>
      <c r="M54" s="249">
        <f t="shared" si="7"/>
        <v>200</v>
      </c>
      <c r="N54" s="246"/>
      <c r="Q54" s="284"/>
    </row>
    <row r="55" spans="1:23" ht="57.75" customHeight="1" x14ac:dyDescent="0.45">
      <c r="A55" s="267" t="s">
        <v>84</v>
      </c>
      <c r="B55" s="481" t="s">
        <v>180</v>
      </c>
      <c r="C55" s="481"/>
      <c r="D55" s="481"/>
      <c r="E55" s="481"/>
      <c r="F55" s="481"/>
      <c r="G55" s="481"/>
      <c r="H55" s="249">
        <v>0</v>
      </c>
      <c r="I55" s="249">
        <v>-2936</v>
      </c>
      <c r="J55" s="249">
        <v>-2936</v>
      </c>
      <c r="K55" s="249">
        <f t="shared" si="15"/>
        <v>-2936</v>
      </c>
      <c r="L55" s="249">
        <f t="shared" si="14"/>
        <v>-2936</v>
      </c>
      <c r="M55" s="249">
        <f t="shared" si="7"/>
        <v>-2936</v>
      </c>
      <c r="N55" s="246"/>
      <c r="Q55" s="284"/>
    </row>
    <row r="56" spans="1:23" ht="24" customHeight="1" x14ac:dyDescent="0.45">
      <c r="A56" s="264"/>
      <c r="B56" s="480" t="s">
        <v>64</v>
      </c>
      <c r="C56" s="480"/>
      <c r="D56" s="480"/>
      <c r="E56" s="480"/>
      <c r="F56" s="480"/>
      <c r="G56" s="480"/>
      <c r="H56" s="265">
        <f>H46+H47</f>
        <v>1409160.5000000002</v>
      </c>
      <c r="I56" s="265">
        <f>I46+I47</f>
        <v>1720729.4968599998</v>
      </c>
      <c r="J56" s="265">
        <f>J46+J47</f>
        <v>1330285.11304</v>
      </c>
      <c r="K56" s="265">
        <f>K46+K47</f>
        <v>1524612.6420500001</v>
      </c>
      <c r="L56" s="265">
        <f>L46+L47</f>
        <v>1739358.10739</v>
      </c>
      <c r="M56" s="265">
        <f t="shared" si="7"/>
        <v>330197.60738999979</v>
      </c>
      <c r="N56" s="246"/>
      <c r="Q56" s="284"/>
    </row>
    <row r="57" spans="1:23" x14ac:dyDescent="0.45">
      <c r="A57" s="294"/>
      <c r="B57" s="492"/>
      <c r="C57" s="492"/>
      <c r="D57" s="492"/>
      <c r="E57" s="492"/>
      <c r="F57" s="492"/>
      <c r="G57" s="492"/>
      <c r="H57" s="492"/>
      <c r="I57" s="492"/>
      <c r="J57" s="492"/>
      <c r="K57" s="492"/>
      <c r="L57" s="492"/>
      <c r="M57" s="295"/>
      <c r="N57" s="284"/>
      <c r="O57" s="284"/>
      <c r="P57" s="284"/>
      <c r="Q57" s="284"/>
      <c r="R57" s="284"/>
      <c r="S57" s="284"/>
      <c r="T57" s="284"/>
      <c r="U57" s="284"/>
      <c r="V57" s="284"/>
      <c r="W57" s="284"/>
    </row>
    <row r="58" spans="1:23" x14ac:dyDescent="0.45">
      <c r="A58" s="284"/>
      <c r="B58" s="284"/>
      <c r="C58" s="284"/>
      <c r="D58" s="284"/>
      <c r="E58" s="284"/>
      <c r="F58" s="284"/>
      <c r="G58" s="284"/>
      <c r="H58" s="284"/>
      <c r="I58" s="282"/>
      <c r="J58" s="2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</row>
    <row r="59" spans="1:23" x14ac:dyDescent="0.45">
      <c r="A59" s="284"/>
      <c r="B59" s="284"/>
      <c r="C59" s="284"/>
      <c r="D59" s="284"/>
      <c r="E59" s="284"/>
      <c r="F59" s="284"/>
      <c r="G59" s="284"/>
      <c r="H59" s="284"/>
      <c r="I59" s="282"/>
      <c r="J59" s="282"/>
      <c r="K59" s="284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</row>
    <row r="60" spans="1:23" x14ac:dyDescent="0.45">
      <c r="A60" s="284"/>
      <c r="B60" s="284"/>
      <c r="C60" s="284"/>
      <c r="D60" s="284"/>
      <c r="E60" s="284"/>
      <c r="F60" s="284"/>
      <c r="G60" s="284"/>
      <c r="H60" s="282"/>
      <c r="I60" s="282"/>
      <c r="J60" s="282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</row>
    <row r="61" spans="1:23" x14ac:dyDescent="0.45">
      <c r="A61" s="284"/>
      <c r="B61" s="284"/>
      <c r="C61" s="284"/>
      <c r="D61" s="284"/>
      <c r="E61" s="284"/>
      <c r="F61" s="284"/>
      <c r="G61" s="284"/>
      <c r="H61" s="284"/>
      <c r="I61" s="284"/>
      <c r="J61" s="284"/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</row>
    <row r="62" spans="1:23" x14ac:dyDescent="0.45">
      <c r="A62" s="284"/>
      <c r="B62" s="284"/>
      <c r="C62" s="284"/>
      <c r="D62" s="284"/>
      <c r="E62" s="284"/>
      <c r="F62" s="284"/>
      <c r="G62" s="284"/>
      <c r="H62" s="284"/>
      <c r="I62" s="284"/>
      <c r="J62" s="284"/>
      <c r="K62" s="284"/>
      <c r="L62" s="284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</row>
    <row r="63" spans="1:23" x14ac:dyDescent="0.45">
      <c r="A63" s="284"/>
      <c r="B63" s="284"/>
      <c r="C63" s="284"/>
      <c r="D63" s="284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</row>
    <row r="64" spans="1:23" x14ac:dyDescent="0.45">
      <c r="A64" s="284"/>
      <c r="B64" s="284"/>
      <c r="C64" s="284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</row>
    <row r="65" spans="1:23" x14ac:dyDescent="0.45">
      <c r="A65" s="284"/>
      <c r="B65" s="284"/>
      <c r="C65" s="284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</row>
    <row r="66" spans="1:23" x14ac:dyDescent="0.45">
      <c r="A66" s="284"/>
      <c r="B66" s="284"/>
      <c r="C66" s="284"/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284"/>
      <c r="O66" s="284"/>
      <c r="P66" s="284"/>
      <c r="Q66" s="284"/>
      <c r="R66" s="284"/>
      <c r="S66" s="284"/>
      <c r="T66" s="284"/>
      <c r="U66" s="284"/>
      <c r="V66" s="284"/>
      <c r="W66" s="284"/>
    </row>
    <row r="67" spans="1:23" x14ac:dyDescent="0.45">
      <c r="A67" s="284"/>
      <c r="B67" s="284"/>
      <c r="C67" s="284"/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284"/>
      <c r="Q67" s="284"/>
      <c r="R67" s="284"/>
      <c r="S67" s="284"/>
      <c r="T67" s="284"/>
      <c r="U67" s="284"/>
      <c r="V67" s="284"/>
      <c r="W67" s="284"/>
    </row>
    <row r="68" spans="1:23" x14ac:dyDescent="0.45">
      <c r="A68" s="284"/>
      <c r="B68" s="284"/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</row>
    <row r="69" spans="1:23" x14ac:dyDescent="0.45">
      <c r="A69" s="284"/>
      <c r="B69" s="284"/>
      <c r="C69" s="284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W69" s="284"/>
    </row>
    <row r="70" spans="1:23" x14ac:dyDescent="0.45">
      <c r="A70" s="284"/>
      <c r="B70" s="284"/>
      <c r="C70" s="284"/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</row>
    <row r="71" spans="1:23" x14ac:dyDescent="0.45">
      <c r="A71" s="284"/>
      <c r="B71" s="284"/>
      <c r="C71" s="284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</row>
    <row r="72" spans="1:23" x14ac:dyDescent="0.45">
      <c r="A72" s="284"/>
      <c r="B72" s="284"/>
      <c r="C72" s="284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</row>
    <row r="73" spans="1:23" x14ac:dyDescent="0.45">
      <c r="A73" s="284"/>
      <c r="B73" s="284"/>
      <c r="C73" s="284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</row>
    <row r="74" spans="1:23" x14ac:dyDescent="0.45">
      <c r="A74" s="284"/>
      <c r="B74" s="284"/>
      <c r="C74" s="284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</row>
    <row r="75" spans="1:23" x14ac:dyDescent="0.45">
      <c r="A75" s="284"/>
      <c r="B75" s="284"/>
      <c r="C75" s="284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</row>
    <row r="76" spans="1:23" x14ac:dyDescent="0.45">
      <c r="A76" s="284"/>
      <c r="B76" s="284"/>
      <c r="C76" s="284"/>
      <c r="D76" s="284"/>
      <c r="E76" s="284"/>
      <c r="F76" s="284"/>
      <c r="G76" s="284"/>
      <c r="H76" s="284"/>
      <c r="I76" s="284"/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</row>
    <row r="77" spans="1:23" x14ac:dyDescent="0.45">
      <c r="A77" s="284"/>
      <c r="B77" s="284"/>
      <c r="C77" s="284"/>
      <c r="D77" s="284"/>
      <c r="E77" s="284"/>
      <c r="F77" s="284"/>
      <c r="G77" s="284"/>
      <c r="H77" s="284"/>
      <c r="I77" s="284"/>
      <c r="J77" s="284"/>
      <c r="K77" s="284"/>
      <c r="L77" s="284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</row>
    <row r="78" spans="1:23" x14ac:dyDescent="0.45">
      <c r="A78" s="284"/>
      <c r="B78" s="284"/>
      <c r="C78" s="284"/>
      <c r="D78" s="284"/>
      <c r="E78" s="284"/>
      <c r="F78" s="284"/>
      <c r="G78" s="284"/>
      <c r="H78" s="284"/>
      <c r="I78" s="284"/>
      <c r="J78" s="284"/>
      <c r="K78" s="284"/>
      <c r="L78" s="284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</row>
    <row r="79" spans="1:23" x14ac:dyDescent="0.45">
      <c r="A79" s="284"/>
      <c r="B79" s="284"/>
      <c r="C79" s="284"/>
      <c r="D79" s="284"/>
      <c r="E79" s="284"/>
      <c r="F79" s="284"/>
      <c r="G79" s="284"/>
      <c r="H79" s="284"/>
      <c r="I79" s="284"/>
      <c r="J79" s="284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</row>
    <row r="80" spans="1:23" x14ac:dyDescent="0.45">
      <c r="A80" s="284"/>
      <c r="B80" s="284"/>
      <c r="C80" s="284"/>
      <c r="D80" s="284"/>
      <c r="E80" s="284"/>
      <c r="F80" s="284"/>
      <c r="G80" s="284"/>
      <c r="H80" s="284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</row>
    <row r="81" spans="1:23" x14ac:dyDescent="0.45">
      <c r="A81" s="284"/>
      <c r="B81" s="284"/>
      <c r="C81" s="284"/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4"/>
    </row>
    <row r="82" spans="1:23" x14ac:dyDescent="0.45">
      <c r="A82" s="284"/>
      <c r="B82" s="284"/>
      <c r="C82" s="284"/>
      <c r="D82" s="284"/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</row>
    <row r="83" spans="1:23" x14ac:dyDescent="0.45">
      <c r="A83" s="284"/>
      <c r="B83" s="284"/>
      <c r="C83" s="284"/>
      <c r="D83" s="284"/>
      <c r="E83" s="284"/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</row>
    <row r="84" spans="1:23" x14ac:dyDescent="0.45">
      <c r="A84" s="284"/>
      <c r="B84" s="284"/>
      <c r="C84" s="284"/>
      <c r="D84" s="284"/>
      <c r="E84" s="284"/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</row>
    <row r="85" spans="1:23" x14ac:dyDescent="0.45">
      <c r="A85" s="284"/>
      <c r="B85" s="284"/>
      <c r="C85" s="284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</row>
    <row r="86" spans="1:23" x14ac:dyDescent="0.45">
      <c r="A86" s="284"/>
      <c r="B86" s="284"/>
      <c r="C86" s="284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  <c r="R86" s="284"/>
      <c r="S86" s="284"/>
      <c r="T86" s="284"/>
      <c r="U86" s="284"/>
      <c r="V86" s="284"/>
      <c r="W86" s="284"/>
    </row>
    <row r="87" spans="1:23" x14ac:dyDescent="0.45">
      <c r="A87" s="284"/>
      <c r="B87" s="284"/>
      <c r="C87" s="284"/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</row>
    <row r="88" spans="1:23" x14ac:dyDescent="0.45">
      <c r="A88" s="284"/>
      <c r="B88" s="284"/>
      <c r="C88" s="284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</row>
    <row r="89" spans="1:23" x14ac:dyDescent="0.45">
      <c r="A89" s="284"/>
      <c r="B89" s="284"/>
      <c r="C89" s="284"/>
      <c r="D89" s="284"/>
      <c r="E89" s="284"/>
      <c r="F89" s="284"/>
      <c r="G89" s="284"/>
      <c r="H89" s="284"/>
      <c r="I89" s="284"/>
      <c r="J89" s="284"/>
      <c r="K89" s="284"/>
      <c r="L89" s="284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</row>
    <row r="90" spans="1:23" x14ac:dyDescent="0.45">
      <c r="A90" s="284"/>
      <c r="B90" s="284"/>
      <c r="C90" s="284"/>
      <c r="D90" s="284"/>
      <c r="E90" s="284"/>
      <c r="F90" s="284"/>
      <c r="G90" s="284"/>
      <c r="H90" s="284"/>
      <c r="I90" s="284"/>
      <c r="J90" s="284"/>
      <c r="K90" s="284"/>
      <c r="L90" s="284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</row>
    <row r="91" spans="1:23" x14ac:dyDescent="0.45">
      <c r="A91" s="284"/>
      <c r="B91" s="284"/>
      <c r="C91" s="284"/>
      <c r="D91" s="284"/>
      <c r="E91" s="284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</row>
    <row r="92" spans="1:23" x14ac:dyDescent="0.45">
      <c r="A92" s="284"/>
      <c r="B92" s="284"/>
      <c r="C92" s="284"/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</row>
    <row r="93" spans="1:23" x14ac:dyDescent="0.45">
      <c r="A93" s="284"/>
      <c r="B93" s="284"/>
      <c r="C93" s="284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</row>
    <row r="94" spans="1:23" x14ac:dyDescent="0.45">
      <c r="A94" s="284"/>
      <c r="B94" s="284"/>
      <c r="C94" s="284"/>
      <c r="D94" s="284"/>
      <c r="E94" s="284"/>
      <c r="F94" s="284"/>
      <c r="G94" s="284"/>
      <c r="H94" s="284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</row>
    <row r="95" spans="1:23" x14ac:dyDescent="0.45">
      <c r="A95" s="284"/>
      <c r="B95" s="284"/>
      <c r="C95" s="284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</row>
    <row r="96" spans="1:23" x14ac:dyDescent="0.45">
      <c r="A96" s="284"/>
      <c r="B96" s="284"/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</row>
    <row r="97" spans="1:23" x14ac:dyDescent="0.45">
      <c r="A97" s="284"/>
      <c r="B97" s="284"/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</row>
    <row r="98" spans="1:23" x14ac:dyDescent="0.45">
      <c r="A98" s="284"/>
      <c r="B98" s="284"/>
      <c r="C98" s="284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</row>
    <row r="99" spans="1:23" x14ac:dyDescent="0.45">
      <c r="A99" s="284"/>
      <c r="B99" s="284"/>
      <c r="C99" s="284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</row>
    <row r="100" spans="1:23" x14ac:dyDescent="0.45">
      <c r="A100" s="284"/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</row>
    <row r="101" spans="1:23" x14ac:dyDescent="0.45">
      <c r="A101" s="284"/>
      <c r="B101" s="284"/>
      <c r="C101" s="284"/>
      <c r="D101" s="284"/>
      <c r="E101" s="284"/>
      <c r="F101" s="284"/>
      <c r="G101" s="284"/>
      <c r="H101" s="284"/>
      <c r="I101" s="284"/>
      <c r="J101" s="284"/>
      <c r="K101" s="284"/>
      <c r="L101" s="284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</row>
    <row r="102" spans="1:23" x14ac:dyDescent="0.45">
      <c r="A102" s="284"/>
      <c r="B102" s="284"/>
      <c r="C102" s="284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</row>
    <row r="103" spans="1:23" x14ac:dyDescent="0.45">
      <c r="A103" s="284"/>
      <c r="B103" s="284"/>
      <c r="C103" s="284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</row>
    <row r="104" spans="1:23" x14ac:dyDescent="0.45">
      <c r="A104" s="284"/>
      <c r="B104" s="284"/>
      <c r="C104" s="284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</row>
    <row r="105" spans="1:23" x14ac:dyDescent="0.45">
      <c r="A105" s="284"/>
      <c r="B105" s="284"/>
      <c r="C105" s="284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</row>
    <row r="106" spans="1:23" x14ac:dyDescent="0.45">
      <c r="A106" s="284"/>
      <c r="B106" s="284"/>
      <c r="C106" s="284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</row>
    <row r="107" spans="1:23" x14ac:dyDescent="0.45">
      <c r="A107" s="284"/>
      <c r="B107" s="284"/>
      <c r="C107" s="284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4"/>
      <c r="O107" s="284"/>
      <c r="P107" s="284"/>
      <c r="Q107" s="284"/>
      <c r="R107" s="284"/>
      <c r="S107" s="284"/>
      <c r="T107" s="284"/>
      <c r="U107" s="284"/>
      <c r="V107" s="284"/>
      <c r="W107" s="284"/>
    </row>
    <row r="108" spans="1:23" x14ac:dyDescent="0.45">
      <c r="A108" s="284"/>
      <c r="B108" s="284"/>
      <c r="C108" s="284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</row>
    <row r="109" spans="1:23" x14ac:dyDescent="0.45">
      <c r="A109" s="284"/>
      <c r="B109" s="284"/>
      <c r="C109" s="284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</row>
    <row r="110" spans="1:23" x14ac:dyDescent="0.45">
      <c r="A110" s="284"/>
      <c r="B110" s="284"/>
      <c r="C110" s="284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284"/>
      <c r="P110" s="284"/>
      <c r="Q110" s="284"/>
      <c r="R110" s="284"/>
      <c r="S110" s="284"/>
      <c r="T110" s="284"/>
      <c r="U110" s="284"/>
      <c r="V110" s="284"/>
      <c r="W110" s="284"/>
    </row>
    <row r="111" spans="1:23" x14ac:dyDescent="0.45">
      <c r="A111" s="284"/>
      <c r="B111" s="284"/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</row>
    <row r="112" spans="1:23" x14ac:dyDescent="0.45">
      <c r="A112" s="284"/>
      <c r="B112" s="284"/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</row>
    <row r="113" spans="1:23" x14ac:dyDescent="0.45">
      <c r="A113" s="284"/>
      <c r="B113" s="284"/>
      <c r="C113" s="284"/>
      <c r="D113" s="284"/>
      <c r="E113" s="284"/>
      <c r="F113" s="284"/>
      <c r="G113" s="284"/>
      <c r="H113" s="284"/>
      <c r="I113" s="284"/>
      <c r="J113" s="284"/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</row>
    <row r="114" spans="1:23" x14ac:dyDescent="0.45">
      <c r="A114" s="284"/>
      <c r="B114" s="284"/>
      <c r="C114" s="284"/>
      <c r="D114" s="284"/>
      <c r="E114" s="284"/>
      <c r="F114" s="284"/>
      <c r="G114" s="284"/>
      <c r="H114" s="284"/>
      <c r="I114" s="284"/>
      <c r="J114" s="284"/>
      <c r="K114" s="284"/>
      <c r="L114" s="284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</row>
    <row r="115" spans="1:23" x14ac:dyDescent="0.45">
      <c r="A115" s="284"/>
      <c r="B115" s="284"/>
      <c r="C115" s="284"/>
      <c r="D115" s="284"/>
      <c r="E115" s="284"/>
      <c r="F115" s="284"/>
      <c r="G115" s="284"/>
      <c r="H115" s="284"/>
      <c r="I115" s="284"/>
      <c r="J115" s="284"/>
      <c r="K115" s="284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</row>
    <row r="116" spans="1:23" x14ac:dyDescent="0.45">
      <c r="A116" s="284"/>
      <c r="B116" s="284"/>
      <c r="C116" s="284"/>
      <c r="D116" s="284"/>
      <c r="E116" s="284"/>
      <c r="F116" s="284"/>
      <c r="G116" s="284"/>
      <c r="H116" s="284"/>
      <c r="I116" s="284"/>
      <c r="J116" s="284"/>
      <c r="K116" s="284"/>
      <c r="L116" s="284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284"/>
    </row>
    <row r="117" spans="1:23" x14ac:dyDescent="0.45">
      <c r="A117" s="284"/>
      <c r="B117" s="284"/>
      <c r="C117" s="284"/>
      <c r="D117" s="284"/>
      <c r="E117" s="284"/>
      <c r="F117" s="284"/>
      <c r="G117" s="284"/>
      <c r="H117" s="284"/>
      <c r="I117" s="284"/>
      <c r="J117" s="284"/>
      <c r="K117" s="284"/>
      <c r="L117" s="284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284"/>
    </row>
    <row r="118" spans="1:23" x14ac:dyDescent="0.45">
      <c r="A118" s="284"/>
      <c r="B118" s="284"/>
      <c r="C118" s="284"/>
      <c r="D118" s="284"/>
      <c r="E118" s="284"/>
      <c r="F118" s="284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</row>
    <row r="119" spans="1:23" x14ac:dyDescent="0.45">
      <c r="A119" s="284"/>
      <c r="B119" s="284"/>
      <c r="C119" s="284"/>
      <c r="D119" s="284"/>
      <c r="E119" s="284"/>
      <c r="F119" s="284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</row>
    <row r="120" spans="1:23" x14ac:dyDescent="0.45">
      <c r="A120" s="284"/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</row>
    <row r="121" spans="1:23" x14ac:dyDescent="0.45">
      <c r="A121" s="284"/>
      <c r="B121" s="284"/>
      <c r="C121" s="284"/>
      <c r="D121" s="284"/>
      <c r="E121" s="284"/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</row>
    <row r="122" spans="1:23" x14ac:dyDescent="0.45">
      <c r="A122" s="284"/>
      <c r="B122" s="284"/>
      <c r="C122" s="284"/>
      <c r="D122" s="284"/>
      <c r="E122" s="284"/>
      <c r="F122" s="284"/>
      <c r="G122" s="284"/>
      <c r="H122" s="284"/>
      <c r="I122" s="284"/>
      <c r="J122" s="284"/>
      <c r="K122" s="284"/>
      <c r="L122" s="284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</row>
    <row r="123" spans="1:23" x14ac:dyDescent="0.45">
      <c r="A123" s="284"/>
      <c r="B123" s="284"/>
      <c r="C123" s="284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284"/>
      <c r="Q123" s="284"/>
      <c r="R123" s="284"/>
      <c r="S123" s="284"/>
      <c r="T123" s="284"/>
      <c r="U123" s="284"/>
      <c r="V123" s="284"/>
      <c r="W123" s="284"/>
    </row>
    <row r="124" spans="1:23" x14ac:dyDescent="0.45">
      <c r="A124" s="284"/>
      <c r="B124" s="284"/>
      <c r="C124" s="284"/>
      <c r="D124" s="284"/>
      <c r="E124" s="284"/>
      <c r="F124" s="284"/>
      <c r="G124" s="284"/>
      <c r="H124" s="284"/>
      <c r="I124" s="284"/>
      <c r="J124" s="284"/>
      <c r="K124" s="284"/>
      <c r="L124" s="284"/>
      <c r="M124" s="284"/>
      <c r="N124" s="284"/>
      <c r="O124" s="284"/>
      <c r="P124" s="284"/>
      <c r="Q124" s="284"/>
      <c r="R124" s="284"/>
      <c r="S124" s="284"/>
      <c r="T124" s="284"/>
      <c r="U124" s="284"/>
      <c r="V124" s="284"/>
      <c r="W124" s="284"/>
    </row>
  </sheetData>
  <mergeCells count="53">
    <mergeCell ref="B56:G56"/>
    <mergeCell ref="B57:L57"/>
    <mergeCell ref="B50:G50"/>
    <mergeCell ref="B51:G51"/>
    <mergeCell ref="B52:G52"/>
    <mergeCell ref="B53:G53"/>
    <mergeCell ref="B54:G54"/>
    <mergeCell ref="B55:G55"/>
    <mergeCell ref="B49:G49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37:G37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B36:G36"/>
    <mergeCell ref="B23:G23"/>
    <mergeCell ref="B8:G8"/>
    <mergeCell ref="B10:G10"/>
    <mergeCell ref="B11:G11"/>
    <mergeCell ref="B12:G12"/>
    <mergeCell ref="B13:G13"/>
    <mergeCell ref="B14:G14"/>
    <mergeCell ref="B15:G15"/>
    <mergeCell ref="B19:G19"/>
    <mergeCell ref="B20:G20"/>
    <mergeCell ref="B21:G21"/>
    <mergeCell ref="B22:G22"/>
    <mergeCell ref="A1:M2"/>
    <mergeCell ref="A4:A7"/>
    <mergeCell ref="B4:G7"/>
    <mergeCell ref="H4:H7"/>
    <mergeCell ref="I4:I7"/>
    <mergeCell ref="J4:J7"/>
    <mergeCell ref="K4:K7"/>
    <mergeCell ref="L4:L7"/>
    <mergeCell ref="M4:M7"/>
  </mergeCells>
  <pageMargins left="0" right="0" top="0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ОЖИДАЕМОЕ ПОСТУПЛЕНИЕ 2018</vt:lpstr>
      <vt:lpstr>2019</vt:lpstr>
      <vt:lpstr>2020</vt:lpstr>
      <vt:lpstr>2021</vt:lpstr>
      <vt:lpstr>2022</vt:lpstr>
      <vt:lpstr>2023</vt:lpstr>
      <vt:lpstr>2024</vt:lpstr>
      <vt:lpstr>2025</vt:lpstr>
      <vt:lpstr>'2021'!Область_печати</vt:lpstr>
      <vt:lpstr>'2022'!Область_печати</vt:lpstr>
      <vt:lpstr>'2025'!Область_печати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Булыкова</dc:creator>
  <cp:lastModifiedBy>Мясникова Наталия Вячеславовна</cp:lastModifiedBy>
  <cp:lastPrinted>2025-11-11T16:32:43Z</cp:lastPrinted>
  <dcterms:created xsi:type="dcterms:W3CDTF">2005-08-15T09:25:20Z</dcterms:created>
  <dcterms:modified xsi:type="dcterms:W3CDTF">2025-11-14T12:47:25Z</dcterms:modified>
</cp:coreProperties>
</file>